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75" windowWidth="20730" windowHeight="11760" firstSheet="1" activeTab="1"/>
  </bookViews>
  <sheets>
    <sheet name="под. Беклемишево" sheetId="27" r:id="rId1"/>
    <sheet name="РНМЦ" sheetId="31" r:id="rId2"/>
  </sheets>
  <definedNames>
    <definedName name="_xlnm.Print_Titles" localSheetId="0">'под. Беклемишево'!$13:$13</definedName>
    <definedName name="_xlnm.Print_Titles" localSheetId="1">РНМЦ!$13:$13</definedName>
    <definedName name="_xlnm.Print_Area" localSheetId="0">'под. Беклемишево'!$A$1:$Q$129</definedName>
    <definedName name="_xlnm.Print_Area" localSheetId="1">РНМЦ!$A$1:$J$146</definedName>
  </definedNames>
  <calcPr calcId="145621" refMode="R1C1"/>
</workbook>
</file>

<file path=xl/calcChain.xml><?xml version="1.0" encoding="utf-8"?>
<calcChain xmlns="http://schemas.openxmlformats.org/spreadsheetml/2006/main">
  <c r="J145" i="31"/>
  <c r="G41" l="1"/>
  <c r="F120" l="1"/>
  <c r="G120" s="1"/>
  <c r="F119"/>
  <c r="G119" s="1"/>
  <c r="F118"/>
  <c r="G118" s="1"/>
  <c r="G16" l="1"/>
  <c r="J16" s="1"/>
  <c r="G31" l="1"/>
  <c r="J31" s="1"/>
  <c r="H43" l="1"/>
  <c r="G59"/>
  <c r="G58"/>
  <c r="G57"/>
  <c r="G56"/>
  <c r="G55"/>
  <c r="G54"/>
  <c r="G53"/>
  <c r="H44"/>
  <c r="F33"/>
  <c r="F21"/>
  <c r="I21" s="1"/>
  <c r="H22"/>
  <c r="G42"/>
  <c r="G72"/>
  <c r="G49"/>
  <c r="G48"/>
  <c r="G47"/>
  <c r="G46"/>
  <c r="G45"/>
  <c r="H104"/>
  <c r="G104"/>
  <c r="F104"/>
  <c r="I105"/>
  <c r="H47" l="1"/>
  <c r="I47" s="1"/>
  <c r="I22"/>
  <c r="J21"/>
  <c r="H54"/>
  <c r="H58"/>
  <c r="I104"/>
  <c r="J104" s="1"/>
  <c r="J105"/>
  <c r="H46"/>
  <c r="H72"/>
  <c r="H55"/>
  <c r="H59"/>
  <c r="I59" s="1"/>
  <c r="J59" s="1"/>
  <c r="H42"/>
  <c r="H56"/>
  <c r="H48"/>
  <c r="H53"/>
  <c r="I53" s="1"/>
  <c r="H57"/>
  <c r="J57" s="1"/>
  <c r="G50"/>
  <c r="H45"/>
  <c r="I45" s="1"/>
  <c r="H49"/>
  <c r="I49" s="1"/>
  <c r="I56"/>
  <c r="I72"/>
  <c r="J72" s="1"/>
  <c r="I54"/>
  <c r="I58"/>
  <c r="J58" s="1"/>
  <c r="I43"/>
  <c r="J43" s="1"/>
  <c r="I55"/>
  <c r="I57"/>
  <c r="H41"/>
  <c r="I42"/>
  <c r="I44"/>
  <c r="J44" s="1"/>
  <c r="I46"/>
  <c r="I48"/>
  <c r="J48" s="1"/>
  <c r="F103"/>
  <c r="I33"/>
  <c r="J33" s="1"/>
  <c r="G28"/>
  <c r="G20"/>
  <c r="G17"/>
  <c r="J17" s="1"/>
  <c r="J54" l="1"/>
  <c r="J55"/>
  <c r="J56"/>
  <c r="J42"/>
  <c r="J46"/>
  <c r="G22"/>
  <c r="J22" s="1"/>
  <c r="J20"/>
  <c r="J53"/>
  <c r="J45"/>
  <c r="J47"/>
  <c r="J49"/>
  <c r="H50"/>
  <c r="H28"/>
  <c r="F102"/>
  <c r="H103"/>
  <c r="H102" s="1"/>
  <c r="G103"/>
  <c r="I41"/>
  <c r="J41" s="1"/>
  <c r="G32"/>
  <c r="J32" s="1"/>
  <c r="G102" l="1"/>
  <c r="I28"/>
  <c r="J28" s="1"/>
  <c r="I50"/>
  <c r="J50" s="1"/>
  <c r="I103"/>
  <c r="I102" s="1"/>
  <c r="J120"/>
  <c r="J119"/>
  <c r="J118"/>
  <c r="I117"/>
  <c r="H117"/>
  <c r="F117"/>
  <c r="J103" l="1"/>
  <c r="J102"/>
  <c r="G117"/>
  <c r="J117" s="1"/>
  <c r="F22" l="1"/>
  <c r="F68" l="1"/>
  <c r="G68" l="1"/>
  <c r="F24"/>
  <c r="H68" l="1"/>
  <c r="H93" s="1"/>
  <c r="G24"/>
  <c r="F29"/>
  <c r="F27"/>
  <c r="H73"/>
  <c r="H74" s="1"/>
  <c r="G73"/>
  <c r="G69"/>
  <c r="I51"/>
  <c r="I64" s="1"/>
  <c r="H51"/>
  <c r="H64" s="1"/>
  <c r="G51"/>
  <c r="I30"/>
  <c r="G37"/>
  <c r="I37"/>
  <c r="H37"/>
  <c r="I18"/>
  <c r="I36" s="1"/>
  <c r="H18"/>
  <c r="H36" s="1"/>
  <c r="G18"/>
  <c r="H69" l="1"/>
  <c r="H70" s="1"/>
  <c r="G74"/>
  <c r="I68"/>
  <c r="I93" s="1"/>
  <c r="G36"/>
  <c r="J36" s="1"/>
  <c r="J18"/>
  <c r="J37"/>
  <c r="G70"/>
  <c r="G64"/>
  <c r="J64" s="1"/>
  <c r="J51"/>
  <c r="G25"/>
  <c r="H24"/>
  <c r="I24" s="1"/>
  <c r="G29"/>
  <c r="I77"/>
  <c r="G27"/>
  <c r="F93"/>
  <c r="H77"/>
  <c r="I73"/>
  <c r="I74" s="1"/>
  <c r="I69" l="1"/>
  <c r="I70" s="1"/>
  <c r="G77"/>
  <c r="J77" s="1"/>
  <c r="H29"/>
  <c r="J29" s="1"/>
  <c r="J70"/>
  <c r="J24"/>
  <c r="H25"/>
  <c r="J68"/>
  <c r="J73"/>
  <c r="J69"/>
  <c r="J74"/>
  <c r="G93"/>
  <c r="J93" s="1"/>
  <c r="H27"/>
  <c r="J27" s="1"/>
  <c r="I81"/>
  <c r="I86" s="1"/>
  <c r="H81"/>
  <c r="H86" s="1"/>
  <c r="I25"/>
  <c r="I38" s="1"/>
  <c r="I79" s="1"/>
  <c r="I83" s="1"/>
  <c r="G30"/>
  <c r="G81" l="1"/>
  <c r="J81" s="1"/>
  <c r="G38"/>
  <c r="G86"/>
  <c r="J86" s="1"/>
  <c r="J25"/>
  <c r="H30"/>
  <c r="H38" s="1"/>
  <c r="H79" s="1"/>
  <c r="H83" s="1"/>
  <c r="H99"/>
  <c r="H95"/>
  <c r="I99"/>
  <c r="I95"/>
  <c r="I34"/>
  <c r="G95"/>
  <c r="J95" s="1"/>
  <c r="G34"/>
  <c r="J34" s="1"/>
  <c r="I88"/>
  <c r="I101" s="1"/>
  <c r="H34"/>
  <c r="G99" l="1"/>
  <c r="J99" s="1"/>
  <c r="J30"/>
  <c r="G79"/>
  <c r="J38"/>
  <c r="I97"/>
  <c r="I110" s="1"/>
  <c r="H88"/>
  <c r="H101" s="1"/>
  <c r="G83" l="1"/>
  <c r="J79"/>
  <c r="H97"/>
  <c r="H110" s="1"/>
  <c r="M99"/>
  <c r="K99"/>
  <c r="K95"/>
  <c r="L95"/>
  <c r="J83" l="1"/>
  <c r="G88"/>
  <c r="I115"/>
  <c r="M95"/>
  <c r="G101" l="1"/>
  <c r="J88"/>
  <c r="G97"/>
  <c r="H115"/>
  <c r="I125"/>
  <c r="F73"/>
  <c r="F74" s="1"/>
  <c r="Q71"/>
  <c r="N71"/>
  <c r="K71"/>
  <c r="F69"/>
  <c r="F70" s="1"/>
  <c r="Q66"/>
  <c r="N66"/>
  <c r="K66"/>
  <c r="F60"/>
  <c r="F51"/>
  <c r="F64" s="1"/>
  <c r="F18"/>
  <c r="F36" s="1"/>
  <c r="F25"/>
  <c r="F30"/>
  <c r="J97" l="1"/>
  <c r="K97"/>
  <c r="G110"/>
  <c r="J101"/>
  <c r="K101"/>
  <c r="F77"/>
  <c r="F61"/>
  <c r="F65" s="1"/>
  <c r="F62" s="1"/>
  <c r="G60"/>
  <c r="H125"/>
  <c r="I130"/>
  <c r="I91"/>
  <c r="I108" s="1"/>
  <c r="K81"/>
  <c r="H91"/>
  <c r="H108" s="1"/>
  <c r="F37"/>
  <c r="F38"/>
  <c r="F79" s="1"/>
  <c r="F83" s="1"/>
  <c r="G115" l="1"/>
  <c r="J110"/>
  <c r="F78"/>
  <c r="G61"/>
  <c r="H60"/>
  <c r="I60" s="1"/>
  <c r="I61" s="1"/>
  <c r="I65" s="1"/>
  <c r="I113"/>
  <c r="H113"/>
  <c r="I134"/>
  <c r="I138" s="1"/>
  <c r="H130"/>
  <c r="H134" s="1"/>
  <c r="H138" s="1"/>
  <c r="G91"/>
  <c r="F81"/>
  <c r="F82"/>
  <c r="F87" s="1"/>
  <c r="F100" s="1"/>
  <c r="F34"/>
  <c r="F88"/>
  <c r="F101" s="1"/>
  <c r="Q39"/>
  <c r="N39"/>
  <c r="I32" i="27"/>
  <c r="I33"/>
  <c r="I23"/>
  <c r="J23" s="1"/>
  <c r="I22"/>
  <c r="J22" s="1"/>
  <c r="H62"/>
  <c r="I62" s="1"/>
  <c r="J62" s="1"/>
  <c r="H38"/>
  <c r="I38" s="1"/>
  <c r="J38" s="1"/>
  <c r="H52"/>
  <c r="I52" s="1"/>
  <c r="J52" s="1"/>
  <c r="H64"/>
  <c r="I64" s="1"/>
  <c r="J64" s="1"/>
  <c r="H50"/>
  <c r="I50" s="1"/>
  <c r="J50" s="1"/>
  <c r="H72"/>
  <c r="I72" s="1"/>
  <c r="J72" s="1"/>
  <c r="H70"/>
  <c r="I70" s="1"/>
  <c r="J70" s="1"/>
  <c r="H68"/>
  <c r="I68" s="1"/>
  <c r="J68" s="1"/>
  <c r="H69"/>
  <c r="I69" s="1"/>
  <c r="J69" s="1"/>
  <c r="H67"/>
  <c r="I67" s="1"/>
  <c r="J67" s="1"/>
  <c r="H60"/>
  <c r="I60" s="1"/>
  <c r="J60" s="1"/>
  <c r="H56"/>
  <c r="I56" s="1"/>
  <c r="J56" s="1"/>
  <c r="H57"/>
  <c r="I57" s="1"/>
  <c r="J57" s="1"/>
  <c r="H55"/>
  <c r="I55" s="1"/>
  <c r="J55" s="1"/>
  <c r="H46"/>
  <c r="I46" s="1"/>
  <c r="J46" s="1"/>
  <c r="H45"/>
  <c r="I45" s="1"/>
  <c r="J45" s="1"/>
  <c r="H39"/>
  <c r="I39" s="1"/>
  <c r="J39" s="1"/>
  <c r="H37"/>
  <c r="I37" s="1"/>
  <c r="J37" s="1"/>
  <c r="H71"/>
  <c r="I71" s="1"/>
  <c r="J71" s="1"/>
  <c r="H66"/>
  <c r="I66" s="1"/>
  <c r="J66" s="1"/>
  <c r="H65"/>
  <c r="I65" s="1"/>
  <c r="J65" s="1"/>
  <c r="H63"/>
  <c r="I63" s="1"/>
  <c r="J63" s="1"/>
  <c r="H51"/>
  <c r="I51" s="1"/>
  <c r="J51" s="1"/>
  <c r="H59"/>
  <c r="I59" s="1"/>
  <c r="J59" s="1"/>
  <c r="H58"/>
  <c r="I58" s="1"/>
  <c r="J58" s="1"/>
  <c r="H53"/>
  <c r="I53" s="1"/>
  <c r="J53" s="1"/>
  <c r="H54"/>
  <c r="I54" s="1"/>
  <c r="J54" s="1"/>
  <c r="H44"/>
  <c r="I44" s="1"/>
  <c r="J44" s="1"/>
  <c r="H43"/>
  <c r="I43" s="1"/>
  <c r="J43" s="1"/>
  <c r="H47"/>
  <c r="I47" s="1"/>
  <c r="J47" s="1"/>
  <c r="H40"/>
  <c r="I40" s="1"/>
  <c r="J40" s="1"/>
  <c r="H41"/>
  <c r="I41" s="1"/>
  <c r="J41" s="1"/>
  <c r="H42"/>
  <c r="I42" s="1"/>
  <c r="J42" s="1"/>
  <c r="H48"/>
  <c r="I48" s="1"/>
  <c r="J48" s="1"/>
  <c r="G15"/>
  <c r="H15" s="1"/>
  <c r="G65" i="31" l="1"/>
  <c r="J60"/>
  <c r="G108"/>
  <c r="J108" s="1"/>
  <c r="J91"/>
  <c r="G125"/>
  <c r="J115"/>
  <c r="M100"/>
  <c r="I78"/>
  <c r="I62"/>
  <c r="F97"/>
  <c r="H61"/>
  <c r="J61" s="1"/>
  <c r="G62"/>
  <c r="G78"/>
  <c r="F96"/>
  <c r="F92"/>
  <c r="L92"/>
  <c r="I123"/>
  <c r="H123"/>
  <c r="H142"/>
  <c r="F86"/>
  <c r="F75"/>
  <c r="J15" i="27"/>
  <c r="J61"/>
  <c r="G113" i="31" l="1"/>
  <c r="J113" s="1"/>
  <c r="J125"/>
  <c r="G130"/>
  <c r="J130" s="1"/>
  <c r="F110"/>
  <c r="F115" s="1"/>
  <c r="F125" s="1"/>
  <c r="F130" s="1"/>
  <c r="F134" s="1"/>
  <c r="F138" s="1"/>
  <c r="F142" s="1"/>
  <c r="F109"/>
  <c r="F114" s="1"/>
  <c r="F91"/>
  <c r="L99"/>
  <c r="G82"/>
  <c r="G75"/>
  <c r="I82"/>
  <c r="I87" s="1"/>
  <c r="I75"/>
  <c r="F99"/>
  <c r="F98" s="1"/>
  <c r="F95"/>
  <c r="F94" s="1"/>
  <c r="H65"/>
  <c r="J65" s="1"/>
  <c r="M96"/>
  <c r="H128"/>
  <c r="I128"/>
  <c r="I142"/>
  <c r="G123"/>
  <c r="J123" s="1"/>
  <c r="F84"/>
  <c r="G134" l="1"/>
  <c r="G87"/>
  <c r="I100"/>
  <c r="I98" s="1"/>
  <c r="F108"/>
  <c r="F113" s="1"/>
  <c r="H78"/>
  <c r="J78" s="1"/>
  <c r="H62"/>
  <c r="J62" s="1"/>
  <c r="I92"/>
  <c r="I96"/>
  <c r="I94" s="1"/>
  <c r="I84"/>
  <c r="G92"/>
  <c r="G96"/>
  <c r="G84"/>
  <c r="F124"/>
  <c r="I132"/>
  <c r="I136" s="1"/>
  <c r="H132"/>
  <c r="H136" s="1"/>
  <c r="G128"/>
  <c r="J128" s="1"/>
  <c r="F90"/>
  <c r="K34"/>
  <c r="G61" i="27"/>
  <c r="H61"/>
  <c r="I61"/>
  <c r="I77" s="1"/>
  <c r="F61"/>
  <c r="G49"/>
  <c r="F33"/>
  <c r="H49"/>
  <c r="I49"/>
  <c r="I76" s="1"/>
  <c r="J49"/>
  <c r="G36"/>
  <c r="F109"/>
  <c r="F108"/>
  <c r="G82"/>
  <c r="F107"/>
  <c r="G81"/>
  <c r="G83"/>
  <c r="F32"/>
  <c r="G26"/>
  <c r="H26" s="1"/>
  <c r="J26" s="1"/>
  <c r="G27"/>
  <c r="H27" s="1"/>
  <c r="G28"/>
  <c r="H28" s="1"/>
  <c r="J28" s="1"/>
  <c r="G25"/>
  <c r="G24"/>
  <c r="G21"/>
  <c r="H21" s="1"/>
  <c r="J21" s="1"/>
  <c r="G20"/>
  <c r="H20" s="1"/>
  <c r="J20" s="1"/>
  <c r="G100" i="31" l="1"/>
  <c r="J134"/>
  <c r="G138"/>
  <c r="G142" s="1"/>
  <c r="M134"/>
  <c r="G109"/>
  <c r="I109"/>
  <c r="F106"/>
  <c r="F123"/>
  <c r="F121" s="1"/>
  <c r="F111"/>
  <c r="L121" s="1"/>
  <c r="G94"/>
  <c r="I90"/>
  <c r="H82"/>
  <c r="J82" s="1"/>
  <c r="H75"/>
  <c r="J75" s="1"/>
  <c r="G90"/>
  <c r="F129"/>
  <c r="G132"/>
  <c r="M92"/>
  <c r="G32" i="27"/>
  <c r="H24"/>
  <c r="H81"/>
  <c r="K81" s="1"/>
  <c r="H82"/>
  <c r="J82" s="1"/>
  <c r="G33"/>
  <c r="G77" s="1"/>
  <c r="H25"/>
  <c r="J25" s="1"/>
  <c r="H36"/>
  <c r="H35" s="1"/>
  <c r="I88"/>
  <c r="I93" s="1"/>
  <c r="I80"/>
  <c r="J27"/>
  <c r="H83"/>
  <c r="J83" s="1"/>
  <c r="I87"/>
  <c r="G35"/>
  <c r="G34" s="1"/>
  <c r="K49"/>
  <c r="G76"/>
  <c r="G87" s="1"/>
  <c r="G92" s="1"/>
  <c r="K61"/>
  <c r="M88" i="31"/>
  <c r="K39"/>
  <c r="K88"/>
  <c r="H34" i="27"/>
  <c r="J138" i="31" l="1"/>
  <c r="M138"/>
  <c r="J142"/>
  <c r="M142"/>
  <c r="G98"/>
  <c r="G136"/>
  <c r="J136" s="1"/>
  <c r="J132"/>
  <c r="F128"/>
  <c r="F132" s="1"/>
  <c r="F136" s="1"/>
  <c r="F140" s="1"/>
  <c r="K82" i="27"/>
  <c r="J33"/>
  <c r="J77" s="1"/>
  <c r="J81"/>
  <c r="I114" i="31"/>
  <c r="I106"/>
  <c r="G114"/>
  <c r="G106"/>
  <c r="H87"/>
  <c r="F133"/>
  <c r="H140"/>
  <c r="I140"/>
  <c r="G140"/>
  <c r="K83" i="27"/>
  <c r="G88"/>
  <c r="G98"/>
  <c r="G108"/>
  <c r="J88"/>
  <c r="J93" s="1"/>
  <c r="I92"/>
  <c r="I107" s="1"/>
  <c r="I109"/>
  <c r="I104"/>
  <c r="I99"/>
  <c r="H33"/>
  <c r="H77" s="1"/>
  <c r="H88" s="1"/>
  <c r="H93" s="1"/>
  <c r="H32"/>
  <c r="H76" s="1"/>
  <c r="K76" s="1"/>
  <c r="J24"/>
  <c r="J32" s="1"/>
  <c r="J76" s="1"/>
  <c r="J87" s="1"/>
  <c r="I36"/>
  <c r="K83" i="31"/>
  <c r="K93"/>
  <c r="G103" i="27"/>
  <c r="J140" i="31" l="1"/>
  <c r="H100"/>
  <c r="J100" s="1"/>
  <c r="J87"/>
  <c r="F126"/>
  <c r="K87"/>
  <c r="K100"/>
  <c r="H92"/>
  <c r="J92" s="1"/>
  <c r="H96"/>
  <c r="J96" s="1"/>
  <c r="H84"/>
  <c r="J84" s="1"/>
  <c r="I124"/>
  <c r="I111"/>
  <c r="G124"/>
  <c r="G111"/>
  <c r="F137"/>
  <c r="F131"/>
  <c r="H104" i="27"/>
  <c r="H109"/>
  <c r="H99"/>
  <c r="J99"/>
  <c r="J104"/>
  <c r="G113"/>
  <c r="J36"/>
  <c r="J35" s="1"/>
  <c r="I35"/>
  <c r="K77"/>
  <c r="H87"/>
  <c r="I114"/>
  <c r="I122" s="1"/>
  <c r="I98"/>
  <c r="I108"/>
  <c r="I102"/>
  <c r="I112" s="1"/>
  <c r="I120" s="1"/>
  <c r="I103"/>
  <c r="K91" i="31"/>
  <c r="I97" i="27"/>
  <c r="G93"/>
  <c r="K88"/>
  <c r="K82" i="31"/>
  <c r="K92"/>
  <c r="M91"/>
  <c r="H98" l="1"/>
  <c r="J98" s="1"/>
  <c r="H109"/>
  <c r="J109" s="1"/>
  <c r="G129"/>
  <c r="G121"/>
  <c r="H94"/>
  <c r="J94" s="1"/>
  <c r="K96"/>
  <c r="I129"/>
  <c r="I121"/>
  <c r="H90"/>
  <c r="J90" s="1"/>
  <c r="F141"/>
  <c r="F139" s="1"/>
  <c r="F135"/>
  <c r="H114" i="27"/>
  <c r="H122" s="1"/>
  <c r="H92"/>
  <c r="K87"/>
  <c r="I34"/>
  <c r="K34" s="1"/>
  <c r="K35"/>
  <c r="G99"/>
  <c r="K99" s="1"/>
  <c r="K93"/>
  <c r="G109"/>
  <c r="G104"/>
  <c r="I113"/>
  <c r="I121" s="1"/>
  <c r="G121"/>
  <c r="M87" i="31"/>
  <c r="H114" l="1"/>
  <c r="J114" s="1"/>
  <c r="H106"/>
  <c r="J106" s="1"/>
  <c r="I133"/>
  <c r="I126"/>
  <c r="K98"/>
  <c r="G133"/>
  <c r="G126"/>
  <c r="K94"/>
  <c r="K104" i="27"/>
  <c r="G114"/>
  <c r="K109"/>
  <c r="J109"/>
  <c r="J92"/>
  <c r="K92"/>
  <c r="H108"/>
  <c r="H98"/>
  <c r="K98" s="1"/>
  <c r="H103"/>
  <c r="L91" i="31"/>
  <c r="K84"/>
  <c r="M86"/>
  <c r="K86"/>
  <c r="N84"/>
  <c r="M84"/>
  <c r="H124" l="1"/>
  <c r="J124" s="1"/>
  <c r="H111"/>
  <c r="J111" s="1"/>
  <c r="G137"/>
  <c r="G131"/>
  <c r="I137"/>
  <c r="I135" s="1"/>
  <c r="I131"/>
  <c r="H113" i="27"/>
  <c r="K103"/>
  <c r="G122"/>
  <c r="J114"/>
  <c r="K114"/>
  <c r="K108"/>
  <c r="J108"/>
  <c r="J103"/>
  <c r="J98"/>
  <c r="M130" i="31"/>
  <c r="K90"/>
  <c r="F105" i="27"/>
  <c r="F49"/>
  <c r="F35"/>
  <c r="F17"/>
  <c r="F18"/>
  <c r="I18" s="1"/>
  <c r="F19"/>
  <c r="I19" s="1"/>
  <c r="J19" s="1"/>
  <c r="F16"/>
  <c r="J34"/>
  <c r="Q34"/>
  <c r="N34"/>
  <c r="G141" i="31" l="1"/>
  <c r="I141"/>
  <c r="I139" s="1"/>
  <c r="H129"/>
  <c r="J129" s="1"/>
  <c r="H121"/>
  <c r="J121" s="1"/>
  <c r="G135"/>
  <c r="F34" i="27"/>
  <c r="I29"/>
  <c r="I73" s="1"/>
  <c r="J18"/>
  <c r="I31"/>
  <c r="I75" s="1"/>
  <c r="G105"/>
  <c r="H105" s="1"/>
  <c r="I105"/>
  <c r="F31"/>
  <c r="F75" s="1"/>
  <c r="F79" s="1"/>
  <c r="G17"/>
  <c r="G31" s="1"/>
  <c r="G75" s="1"/>
  <c r="J113"/>
  <c r="H121"/>
  <c r="K113"/>
  <c r="F29"/>
  <c r="F73" s="1"/>
  <c r="G16"/>
  <c r="H16" s="1"/>
  <c r="J122"/>
  <c r="K122"/>
  <c r="F77"/>
  <c r="F76"/>
  <c r="G139" i="31" l="1"/>
  <c r="H133"/>
  <c r="J133" s="1"/>
  <c r="H126"/>
  <c r="J126" s="1"/>
  <c r="K129"/>
  <c r="J16" i="27"/>
  <c r="H80"/>
  <c r="H102"/>
  <c r="H107"/>
  <c r="H97"/>
  <c r="G29"/>
  <c r="G80"/>
  <c r="G97"/>
  <c r="G107"/>
  <c r="G102"/>
  <c r="K121"/>
  <c r="J121"/>
  <c r="H17"/>
  <c r="I79"/>
  <c r="I86" s="1"/>
  <c r="I91" s="1"/>
  <c r="F87"/>
  <c r="F92" s="1"/>
  <c r="G79"/>
  <c r="J105"/>
  <c r="K105"/>
  <c r="F88"/>
  <c r="F93" s="1"/>
  <c r="F80"/>
  <c r="F84" s="1"/>
  <c r="F89" s="1"/>
  <c r="F86"/>
  <c r="F91" s="1"/>
  <c r="H137" i="31" l="1"/>
  <c r="J137" s="1"/>
  <c r="H131"/>
  <c r="J131" s="1"/>
  <c r="K133"/>
  <c r="F103" i="27"/>
  <c r="F98"/>
  <c r="K96"/>
  <c r="F101"/>
  <c r="F111" s="1"/>
  <c r="G86"/>
  <c r="G84"/>
  <c r="M97"/>
  <c r="J80"/>
  <c r="J97"/>
  <c r="J107"/>
  <c r="J102"/>
  <c r="I101"/>
  <c r="I100" s="1"/>
  <c r="I106"/>
  <c r="I96"/>
  <c r="I95" s="1"/>
  <c r="K102"/>
  <c r="G112"/>
  <c r="G73"/>
  <c r="I84"/>
  <c r="I89" s="1"/>
  <c r="J17"/>
  <c r="J31" s="1"/>
  <c r="J75" s="1"/>
  <c r="J79" s="1"/>
  <c r="H31"/>
  <c r="H75" s="1"/>
  <c r="H29"/>
  <c r="H73" s="1"/>
  <c r="K80"/>
  <c r="H112"/>
  <c r="H120" s="1"/>
  <c r="F99"/>
  <c r="F97"/>
  <c r="F95" s="1"/>
  <c r="F104"/>
  <c r="F102"/>
  <c r="H135" i="31" l="1"/>
  <c r="J135" s="1"/>
  <c r="K137"/>
  <c r="H141"/>
  <c r="J141" s="1"/>
  <c r="F114" i="27"/>
  <c r="F122" s="1"/>
  <c r="J29"/>
  <c r="J73" s="1"/>
  <c r="F112"/>
  <c r="F110" s="1"/>
  <c r="F115" s="1"/>
  <c r="F116" s="1"/>
  <c r="K73"/>
  <c r="G91"/>
  <c r="H79"/>
  <c r="K75"/>
  <c r="J84"/>
  <c r="J86"/>
  <c r="K112"/>
  <c r="J112"/>
  <c r="G120"/>
  <c r="I111"/>
  <c r="I110" s="1"/>
  <c r="I115" s="1"/>
  <c r="F119"/>
  <c r="F100"/>
  <c r="E110" s="1"/>
  <c r="G89"/>
  <c r="L96"/>
  <c r="K97"/>
  <c r="K29"/>
  <c r="F113"/>
  <c r="F121" s="1"/>
  <c r="H86"/>
  <c r="H91" s="1"/>
  <c r="H106" s="1"/>
  <c r="I119" l="1"/>
  <c r="J89"/>
  <c r="H139" i="31"/>
  <c r="J139" s="1"/>
  <c r="K141"/>
  <c r="F120" i="27"/>
  <c r="I116"/>
  <c r="I117" s="1"/>
  <c r="I118" s="1"/>
  <c r="F117"/>
  <c r="F118" s="1"/>
  <c r="K79"/>
  <c r="H84"/>
  <c r="K86"/>
  <c r="J120"/>
  <c r="K120"/>
  <c r="G101"/>
  <c r="K91"/>
  <c r="G106"/>
  <c r="G96"/>
  <c r="H101"/>
  <c r="H100" s="1"/>
  <c r="H96"/>
  <c r="H95" s="1"/>
  <c r="J91"/>
  <c r="K101" l="1"/>
  <c r="G100"/>
  <c r="K100" s="1"/>
  <c r="H89"/>
  <c r="K89" s="1"/>
  <c r="K84"/>
  <c r="G95"/>
  <c r="K95" s="1"/>
  <c r="D96"/>
  <c r="D97" s="1"/>
  <c r="G111"/>
  <c r="M106"/>
  <c r="H111"/>
  <c r="J101"/>
  <c r="J100" s="1"/>
  <c r="J96"/>
  <c r="J95" s="1"/>
  <c r="J106"/>
  <c r="M89"/>
  <c r="N89"/>
  <c r="K111" l="1"/>
  <c r="J111"/>
  <c r="N110"/>
  <c r="M110"/>
  <c r="M116" s="1"/>
  <c r="M117" s="1"/>
  <c r="M115" l="1"/>
  <c r="G119"/>
  <c r="G110"/>
  <c r="H119"/>
  <c r="J119" l="1"/>
  <c r="K119"/>
  <c r="H110"/>
  <c r="J110" s="1"/>
  <c r="G115"/>
  <c r="G116" s="1"/>
  <c r="G117" s="1"/>
  <c r="H115" l="1"/>
  <c r="H116" s="1"/>
  <c r="K110"/>
  <c r="J115" l="1"/>
  <c r="K115"/>
  <c r="H117"/>
  <c r="H118" s="1"/>
  <c r="J116"/>
  <c r="K116" s="1"/>
  <c r="G118"/>
  <c r="J117" l="1"/>
  <c r="M118" s="1"/>
  <c r="K117"/>
  <c r="K118"/>
  <c r="J118"/>
</calcChain>
</file>

<file path=xl/sharedStrings.xml><?xml version="1.0" encoding="utf-8"?>
<sst xmlns="http://schemas.openxmlformats.org/spreadsheetml/2006/main" count="453" uniqueCount="268">
  <si>
    <t>Наименование</t>
  </si>
  <si>
    <t>НДС 18%</t>
  </si>
  <si>
    <t>"УТВЕРЖДАЮ"</t>
  </si>
  <si>
    <t>Всего по расчету</t>
  </si>
  <si>
    <t>Ед.изм.</t>
  </si>
  <si>
    <t>м3</t>
  </si>
  <si>
    <t>Кол-во</t>
  </si>
  <si>
    <t>№ п/п</t>
  </si>
  <si>
    <t>Обоснование</t>
  </si>
  <si>
    <t>км</t>
  </si>
  <si>
    <t>Стоимость в ценах соответствующих лет, тыс.руб.</t>
  </si>
  <si>
    <t>МДС 81-35.2004</t>
  </si>
  <si>
    <t>га</t>
  </si>
  <si>
    <t>Стоимость по ПСД  в  ценах на 01.01.2001г., тыс.руб.</t>
  </si>
  <si>
    <t>Итого по подготовительным работам</t>
  </si>
  <si>
    <t xml:space="preserve">Итого </t>
  </si>
  <si>
    <t>Временные здания и сооружения</t>
  </si>
  <si>
    <t>Итого временных зданий и сооружений</t>
  </si>
  <si>
    <t>Итого с временными зданиями и сооружениями</t>
  </si>
  <si>
    <t>Прочие работы и затраты</t>
  </si>
  <si>
    <t>Итого с прочими работами и затратами</t>
  </si>
  <si>
    <t>Итого с непредвиденными</t>
  </si>
  <si>
    <t>"СОГЛАСОВАНО"</t>
  </si>
  <si>
    <t xml:space="preserve">Затраты при производстве работ в зимнее время </t>
  </si>
  <si>
    <t>Основные характеристики объекта закупки</t>
  </si>
  <si>
    <t>Используемый метод определения НМЦК с обоснованием:</t>
  </si>
  <si>
    <t>Расчет начальной (максимальной) цены контракта</t>
  </si>
  <si>
    <t>Дорожная одежда</t>
  </si>
  <si>
    <t>Земляное полотно</t>
  </si>
  <si>
    <t>Подготовительные работы</t>
  </si>
  <si>
    <t>Директор ГКУ "Служба единого заказчика" Забайкальского края</t>
  </si>
  <si>
    <t>Составил:</t>
  </si>
  <si>
    <t>Министр территориального развития 
 Забайкальского края</t>
  </si>
  <si>
    <t xml:space="preserve">__________________         </t>
  </si>
  <si>
    <t>Обоснование и расчет начальной (максимальной) цены контракта на выполнение работ по  реконструкции автомобильной дороги подъезд к с. Беклемишево на участке км 0+000 - км 10+000 в Читинском районе Забайкальского края</t>
  </si>
  <si>
    <t>Реконструкция автомобильной дороги подъезд к с. Беклемишево на участке км 0+000 - км 10+000
в Читинском районе Забайкальского края</t>
  </si>
  <si>
    <t>В соответствии с требованиями статьи 22 ч.9 п.1 Федерального закона № 44 от 5 апреля  2013 года "О контрактной системе в сфере закупок товаров, работ, услуг для обеспечения государственных и муниципальных нужд" с изменениями и дополнениями   ГКУ «Служба единого заказчика» Забайкальского края использован проектно- сметный метод, который  заключается в определении начальной (максимальной) цены контракта на основании проектно-сметной документации разработанной в соответствии с методиками и нормативами  (Методики определения стоимости строительной продукции на территории Российской федерации     (МДС 81-35.2004), утвержденной постановлением Госстроя России № 15/1 от 05.03.2004 г., федеральных единичных расценок для определения стоимости строительства (ФЕР, редакция приказа №253 Минрегиона РФ).
Индексы перехода к текущим ценам приняты по письму Министерства строительства и жилищно-коммунального хозяства РФ №  40538-ЕС/09 от 14.12.2015 года. 
Индексы перехода в цены соответствующих лет в соответствии с письмом Минэкономразвития РФ №11148-АВ/ДОЗи от 30.04.2015г. и "О разработке прогноза социально-экономического развития РФ на 2016 и  плановый период  2017 годов".
В расчёте учтена сумма средств по уплате НДС в соответствии с законодательством Российской Федерации. Приложение- проектно-сметная документация</t>
  </si>
  <si>
    <t>Смета</t>
  </si>
  <si>
    <t>Топографо-геодезические работы (ГРО)</t>
  </si>
  <si>
    <t>Ущерб рыбным запасам       40,875/5,31=</t>
  </si>
  <si>
    <t>Расчёт</t>
  </si>
  <si>
    <t>Л.см.р.№01-04-01</t>
  </si>
  <si>
    <t>Подготовительные работы (дорога)</t>
  </si>
  <si>
    <t>Л.см.р.№01-04-02</t>
  </si>
  <si>
    <t>Л.см.р.№01-04-03</t>
  </si>
  <si>
    <t>Л.см.р.№01-04-04</t>
  </si>
  <si>
    <t>Валка леса и корчевка пней</t>
  </si>
  <si>
    <t xml:space="preserve">Рекультивация (технический этап) </t>
  </si>
  <si>
    <t xml:space="preserve">Рекультивация (биологический этап) </t>
  </si>
  <si>
    <t>Ущерб охотничьий фауне  1437,68/5,31=</t>
  </si>
  <si>
    <t>Расчёт 01-03-01
Расчёт 01-03-01</t>
  </si>
  <si>
    <t>Л.см.р.№01-02-01</t>
  </si>
  <si>
    <t>Подготовительные работы (мост Монгой)</t>
  </si>
  <si>
    <t>Л.см.р.№01-02-02</t>
  </si>
  <si>
    <t>Л.см.р.№01-03-01</t>
  </si>
  <si>
    <t>Подготовительные работы (мост Холэ)</t>
  </si>
  <si>
    <t>Л.см.р.№01-03-02</t>
  </si>
  <si>
    <t>Разборка существующих конструкий (мост Монгой)</t>
  </si>
  <si>
    <t>Разборка существующих конструкий (мост Холэ)</t>
  </si>
  <si>
    <t>Л.см.р.№01-09-01</t>
  </si>
  <si>
    <t>Переустройство ВЛ-35кВ</t>
  </si>
  <si>
    <t>м</t>
  </si>
  <si>
    <t>в т. ч.</t>
  </si>
  <si>
    <t>- мост Монгой</t>
  </si>
  <si>
    <t>- дорога</t>
  </si>
  <si>
    <t>- мост Холэ</t>
  </si>
  <si>
    <t>Разбивка осей опор мостов (12,919(Монгой) +10,335(Холэ))</t>
  </si>
  <si>
    <t xml:space="preserve">  Основные объекты строительства </t>
  </si>
  <si>
    <t>Лсмр №02-01-05</t>
  </si>
  <si>
    <t>Лсмр №02-10-06</t>
  </si>
  <si>
    <t>Лсмр №02-10-07</t>
  </si>
  <si>
    <t>Лсмр №02-10-08</t>
  </si>
  <si>
    <t>Лсмр №02-10-09</t>
  </si>
  <si>
    <t>Лсмр №02-10-10</t>
  </si>
  <si>
    <t>Лсмр №-02-10-11</t>
  </si>
  <si>
    <t>Лсмр №02-10-12</t>
  </si>
  <si>
    <t>Лсмр №02-10-13</t>
  </si>
  <si>
    <t>Лсмр №02-10-14</t>
  </si>
  <si>
    <t>Лсмр №-02-10-15</t>
  </si>
  <si>
    <t>Лсмр №-02-10-16</t>
  </si>
  <si>
    <t>Расчет № 1-1</t>
  </si>
  <si>
    <t>Дополнительные затраты на эл.энергию получаемые от передвижных эл.станций</t>
  </si>
  <si>
    <t>Буровзрывные работы</t>
  </si>
  <si>
    <t>Отвод воды с проезжей части</t>
  </si>
  <si>
    <t>Примыкание  на ПК1+46,6</t>
  </si>
  <si>
    <t>Примыкание на  ПК64+00</t>
  </si>
  <si>
    <t>Примыкание на  ПК92+46</t>
  </si>
  <si>
    <t>Примыкание на ПК98+79</t>
  </si>
  <si>
    <t xml:space="preserve">Обустройство дороги </t>
  </si>
  <si>
    <t>Металлические гофрированные трубы
 Д - 1,5 м</t>
  </si>
  <si>
    <t>Металлические гофрированные трубы 
Д - 2,0 м</t>
  </si>
  <si>
    <t>Металлические гофрированные трубы 
Д - 2,5 м</t>
  </si>
  <si>
    <t>-Мост  Монгой</t>
  </si>
  <si>
    <t>Лсм.р. №02-02-03</t>
  </si>
  <si>
    <t>Береговые опоры</t>
  </si>
  <si>
    <t>Лсм.р. №02-02-04</t>
  </si>
  <si>
    <t>Промежуточные опоры</t>
  </si>
  <si>
    <t>Лсм.р. №02-02-05</t>
  </si>
  <si>
    <t>Антикоррозионная защита  опор</t>
  </si>
  <si>
    <t>Лсм.р. №02-02-06</t>
  </si>
  <si>
    <t>Пролетное строение</t>
  </si>
  <si>
    <t>Лсм.р. №02-02-07</t>
  </si>
  <si>
    <t>Антикоррозионная защита   пролетного строения</t>
  </si>
  <si>
    <t>Лсм.р. №02-02-09</t>
  </si>
  <si>
    <t>Сопряжение</t>
  </si>
  <si>
    <t>Лсм.р. №02-02-10</t>
  </si>
  <si>
    <t>Регуляция</t>
  </si>
  <si>
    <t>Лсм.р. №02-02-11</t>
  </si>
  <si>
    <t>Водоотвод</t>
  </si>
  <si>
    <t>Лсм.р. №02-02-12</t>
  </si>
  <si>
    <t>Лестничные сходы</t>
  </si>
  <si>
    <t>Лсм.р. №02-02-13</t>
  </si>
  <si>
    <t>Транспорт сверх, учтенных в ТЕР</t>
  </si>
  <si>
    <t>Расчет №02-02-14</t>
  </si>
  <si>
    <t>Дополнительные затраты на электроэнергию, получаемую от передвижных электростанций</t>
  </si>
  <si>
    <t>Лсм.р. №02-03-03</t>
  </si>
  <si>
    <t>Лсм.р. №02-03-04</t>
  </si>
  <si>
    <t>Лсм.р. №02-03-05</t>
  </si>
  <si>
    <t>Лсм.р. №02-03-06</t>
  </si>
  <si>
    <t>Лсм.р. №02-03-07</t>
  </si>
  <si>
    <t>Лсм.р. №02-03-09</t>
  </si>
  <si>
    <t>Лсм.р. №02-03-10</t>
  </si>
  <si>
    <t>Лсм.р. №02-03-11</t>
  </si>
  <si>
    <t>Лсм.р. №02-03-12</t>
  </si>
  <si>
    <t>Расчет  №02-03-02</t>
  </si>
  <si>
    <t>Транспорт сверх, учтенных в ФЕР</t>
  </si>
  <si>
    <t>Расчет  №02-03-03</t>
  </si>
  <si>
    <t>ГСН 81-05-01-2001, п.3.5.2</t>
  </si>
  <si>
    <t>ГСН 81-05-01-2001, п.3.7</t>
  </si>
  <si>
    <t>Объектная смета 01-02 том 9.2</t>
  </si>
  <si>
    <t>Объектная смета 01-03 том 9.2</t>
  </si>
  <si>
    <t>Временные здания и  сооружения (дорога) 4,1%*0,8=3,28%</t>
  </si>
  <si>
    <t>Временные здания и  сооружения (мосты)  10,1%*0,8=8,08%</t>
  </si>
  <si>
    <t>Временные объездные и подъездные  дороги</t>
  </si>
  <si>
    <t>Лсм.р. №08-14-17</t>
  </si>
  <si>
    <t>Временный рабочий мостик (Монгой)</t>
  </si>
  <si>
    <t>Временный рабочий мостик (Холэ)</t>
  </si>
  <si>
    <t xml:space="preserve">____________________ </t>
  </si>
  <si>
    <t>"________"___________2016 г</t>
  </si>
  <si>
    <t xml:space="preserve">См.рас.№ 09-01,№ 09-02, ГСН 81-05-02-2007,об.см (переустр. ВЛ-10кВ, мосты) </t>
  </si>
  <si>
    <t>в том числе дорога</t>
  </si>
  <si>
    <t>в том числе мосты</t>
  </si>
  <si>
    <t>ГСН 81-05-02-2007, табл.2</t>
  </si>
  <si>
    <t>Расчет платы за выбросы</t>
  </si>
  <si>
    <t>Дополнительные затраты по снегоборьбе 0,4%</t>
  </si>
  <si>
    <t xml:space="preserve">Плата за выбросы загрязняющих веществ и плата за размещение отходов   (5,18552+214,32)/5,31=                                                                           </t>
  </si>
  <si>
    <t>Расчет № 09-04, Расчет №09-05</t>
  </si>
  <si>
    <t>Затраты на ведение работ вахтовым методом (мосты)</t>
  </si>
  <si>
    <t>Затраты на вахтовый метод производства работ (дорога)</t>
  </si>
  <si>
    <t>Расчет № 09-03</t>
  </si>
  <si>
    <t>в том числе мосты 8,3%</t>
  </si>
  <si>
    <t xml:space="preserve">Непредвиденные работы и затраты 1,5% </t>
  </si>
  <si>
    <t>2017г.      (СМР-к=7,05* 1,042; прочие затраты-11,04*1,042)</t>
  </si>
  <si>
    <t>2018г.      (СМР-к=7,05* 1,042* 1,055; прочие затраты-11,04*1,042*1,055)</t>
  </si>
  <si>
    <t>2016г.   (СМР-к=7,05-СМР, прочие затраты-к=11,04, изыскательские-к=3,93)</t>
  </si>
  <si>
    <r>
      <t xml:space="preserve">Проект нормативов образования отходов и лимитов на их размещение </t>
    </r>
    <r>
      <rPr>
        <sz val="10"/>
        <rFont val="Times New Roman"/>
        <family val="1"/>
        <charset val="204"/>
      </rPr>
      <t xml:space="preserve"> 136856,81/1000/3,7=36,99</t>
    </r>
  </si>
  <si>
    <t>"________"___________2018 г</t>
  </si>
  <si>
    <t xml:space="preserve">__________________   М.К. Гурулёв    </t>
  </si>
  <si>
    <t>Л.см.р.№01-01-01</t>
  </si>
  <si>
    <t xml:space="preserve">Подготовительные работы </t>
  </si>
  <si>
    <t>Л.см.р.№01-01-02</t>
  </si>
  <si>
    <t>Разборка конструкций путепровода</t>
  </si>
  <si>
    <t>Итого</t>
  </si>
  <si>
    <t>Подготовительные работы (подходы)</t>
  </si>
  <si>
    <t>Переустройство коммуникаций РЖД</t>
  </si>
  <si>
    <t>Переустройство ВЛ-10кВ</t>
  </si>
  <si>
    <t>Л.см.р.№01-09-02</t>
  </si>
  <si>
    <t>Переустройство линии связи и СЦБ</t>
  </si>
  <si>
    <t>Л.см.р.№01-09-03</t>
  </si>
  <si>
    <t>Переустройство контактной сети</t>
  </si>
  <si>
    <t>Л.см.р.№01-07</t>
  </si>
  <si>
    <t>Переустройство связи</t>
  </si>
  <si>
    <t xml:space="preserve">Переустройство коммуникаций </t>
  </si>
  <si>
    <t>Расчет №01-10,  01-11</t>
  </si>
  <si>
    <t>Разбивка оси        6,397/1,266+6,979/1,266</t>
  </si>
  <si>
    <t>Расчет №01-12</t>
  </si>
  <si>
    <t>Расчет</t>
  </si>
  <si>
    <t>- путепровод</t>
  </si>
  <si>
    <t>- подходы</t>
  </si>
  <si>
    <t>- коммуникации</t>
  </si>
  <si>
    <t>Путепровод</t>
  </si>
  <si>
    <t>Л.см.р.№02-01-01</t>
  </si>
  <si>
    <t>Опоры</t>
  </si>
  <si>
    <t>Л.см.р.№02-01-02</t>
  </si>
  <si>
    <t>Антикоррозийная защита железобетонных конструкций опор</t>
  </si>
  <si>
    <t>Л.см.р.№02-01-03</t>
  </si>
  <si>
    <t>Л.см.р.№02-01-04</t>
  </si>
  <si>
    <t>Антикоррозийная защита конструкций пролетных строений</t>
  </si>
  <si>
    <t>Л.см.р.№02-01-05</t>
  </si>
  <si>
    <t>Л.см.р.№02-01-06</t>
  </si>
  <si>
    <t>Л.см.р.№02-01-07</t>
  </si>
  <si>
    <t>Л.см.р.№02-01-08</t>
  </si>
  <si>
    <t>Устройство лестничных сходов</t>
  </si>
  <si>
    <t>Л.см.р.№02-01-09*</t>
  </si>
  <si>
    <t>Устройство подпорной стенки</t>
  </si>
  <si>
    <t>Расчет №02-01-10</t>
  </si>
  <si>
    <t>Подготовительные работы (участки сопряжения путепровода с существующей автомобильной дорогой)</t>
  </si>
  <si>
    <t>Подходы</t>
  </si>
  <si>
    <t>Л.см.р.№02-02-01</t>
  </si>
  <si>
    <t>Л.см.р.№02-02-02</t>
  </si>
  <si>
    <t>Л.см.р.№02-02-03</t>
  </si>
  <si>
    <t>Л.см.р.№02-02-04</t>
  </si>
  <si>
    <t>Примыкание на ПК 0с+50.85</t>
  </si>
  <si>
    <t>Л.см.р.№02-02-05</t>
  </si>
  <si>
    <t>Примыкание на ПК 1+86.85 ул.Вокзальная</t>
  </si>
  <si>
    <t>Л.см.р.№02-02-06</t>
  </si>
  <si>
    <t>Примыкание на ПК 2+57.68 ул.1-я Золотовская</t>
  </si>
  <si>
    <t>Л.см.р.№02-02-07</t>
  </si>
  <si>
    <t xml:space="preserve">  Глава 2. Основные объекты строительства </t>
  </si>
  <si>
    <t>Глава 1. Подготовительные работы (путепровод)</t>
  </si>
  <si>
    <t>Расчет №02-02-09</t>
  </si>
  <si>
    <t>Итого по главе 2</t>
  </si>
  <si>
    <t>Итого по главе 1</t>
  </si>
  <si>
    <t xml:space="preserve">  Глава 4. Объекты энергетического хозяйства</t>
  </si>
  <si>
    <t>Л.см.р.№04-01-01</t>
  </si>
  <si>
    <t>Наружное освещение</t>
  </si>
  <si>
    <t xml:space="preserve">  Глава 6. Наружные сети и сооружения водоснабжения, канализации, теплоснабжения и газоснабжения</t>
  </si>
  <si>
    <t>Л.см.р.№01-10</t>
  </si>
  <si>
    <t>Переустройство трубопроводов</t>
  </si>
  <si>
    <t>Итого по главам 1-7</t>
  </si>
  <si>
    <t>Итого по главе 4</t>
  </si>
  <si>
    <t>Итого по главе 6</t>
  </si>
  <si>
    <t>Глава 8. Временные здания и сооружения</t>
  </si>
  <si>
    <t>Временные здания и  сооружения (путепровод)  10,1%*0,8=8,08%</t>
  </si>
  <si>
    <t>Временные здания и  сооружения (подходы) 4,1%*0,8=3,28%</t>
  </si>
  <si>
    <t>Временные здания и  сооружения (коммуникации)  4,1%*0,8=3,28%</t>
  </si>
  <si>
    <t>Глава 9. Прочие работы и затраты</t>
  </si>
  <si>
    <t>ГСН 81-05-02-2007 таб.4 п.4.2</t>
  </si>
  <si>
    <t>ГСН 81-05-02-2007 таб.4 п.2.6, п.8</t>
  </si>
  <si>
    <t>Затраты на геодезические разбивочные работы. Подходы 82,71/3,91/1,266/1,18</t>
  </si>
  <si>
    <t xml:space="preserve">ГСН 81-05-02-2007 таб.2 </t>
  </si>
  <si>
    <t>Затраты по снегоборьбе 0,4%</t>
  </si>
  <si>
    <t>Затраты на подвижной характер работ</t>
  </si>
  <si>
    <t>Расчет № 09-01</t>
  </si>
  <si>
    <t>Расчет № 09-07</t>
  </si>
  <si>
    <t>Расчет № 09-01(1)</t>
  </si>
  <si>
    <t>Пусконаладочные работы устройств контактной сети. Переустройство коммуникаций РЖД</t>
  </si>
  <si>
    <t>Итого по главе 9</t>
  </si>
  <si>
    <t>Итого по главам 1-9</t>
  </si>
  <si>
    <t>Рабочая документация</t>
  </si>
  <si>
    <t xml:space="preserve">Непредвиденные работы и затраты </t>
  </si>
  <si>
    <t>Итого (1 этап)</t>
  </si>
  <si>
    <t>В соответствии с требованиями статьи 22 ч.9 п.1 Федерального закона № 44 от 5 апреля  2013 года "О контрактной системе в сфере закупок товаров, работ, услуг для обеспечения государственных и муниципальных нужд" с изменениями и дополнениями   ГКУ «Служба единого заказчика» Забайкальского края использован проектно- сметный метод, который  заключается в определении начальной (максимальной) цены контракта на основании проектно-сметной документации разработанной в соответствии с методиками и нормативами  (Методики определения стоимости строительной продукции на территории Российской федерации     (МДС 81-35.2004), утвержденной постановлением Госстроя России № 15/1 от 09.04.2004 г., с применением федеральных единичных расценок на строительные и специальные строительные работы ФСНБ-2001 (в редакции 2017 года), в действующей редакции, утвержденной Приказами Минстроя РФ №1038/пр, 1039/пр от 30.12.2016г. (в редакции приказа Минстроя России от 29.03.2017 №661/пр) и №41/пр от 24.01.2017г., и приказ №886/пр  от 15.06.2017г.
Индексы перехода к текущим ценам приняты по письму Министерства строительства и жилищно-коммунального хозяства РФ СМР - № 41343-ЛС/09 от 10.10.2018г., прочие и оборудование -№  40178-ЛС/09 от 01.10.2018г.. 
Индексы перехода в цены соответствующих лет в соответствии с письмом Минэкономразвития РФ №Д14и-1426 от 18.07.2018г. и "О разработке прогноза социально-экономического развития РФ на период  до 2024 года".
В расчёте учтена сумма средств по уплате НДС на основании закона РФ от 07.07.2003г. №117-ФЗ. Приложение- проектно-сметная документация.</t>
  </si>
  <si>
    <t>Затраты на оплату   "окон" РЖД  57811,14244/6,13</t>
  </si>
  <si>
    <t>Компенсация за использование земельного участка 3331110,22/1000/6,13</t>
  </si>
  <si>
    <t>Затраты на охрану окружающей среды (2,19373+1067,08054)/6,13</t>
  </si>
  <si>
    <t>Налог на добавленную стоимость 20%</t>
  </si>
  <si>
    <t>2021г.      (СМР-к=7,95* 1,05* 1,048*1,045; прочие затраты-6,13*1,05* 1,048*1,045, оборуд-4,16*1,05*1,048*1,045)
тыс. руб.</t>
  </si>
  <si>
    <t xml:space="preserve">                 "________"_____________2018 г</t>
  </si>
  <si>
    <t>Стоимость в ценах соответствую-щих лет, 
тыс.руб.</t>
  </si>
  <si>
    <t>Стоимость по ПСД  в  ценах на 01.01.2001г.,
тыс.руб.</t>
  </si>
  <si>
    <t>2019г.      (СМР-к=7,95* 1,05; прочие затраты-6,13*1,05, оборуд-4,16*1,05), 
тыс. руб.</t>
  </si>
  <si>
    <t>2020г.      (СМР-к=7,95* 1,05* 1,048; прочие затраты-6,13*1,05* 1,048,оборуд-4,16*1,05*1,048)
тыс. руб.</t>
  </si>
  <si>
    <t>Работник контрактной службы начальник сметного отдела                                                Т.Г. Пушкарева</t>
  </si>
  <si>
    <t xml:space="preserve">ПУТЕПРОВОД </t>
  </si>
  <si>
    <t>Глава 12.Публичный технологический и ценовой аудит, проектные и изыскательские работы.</t>
  </si>
  <si>
    <t xml:space="preserve">Итого по главам 1-12 </t>
  </si>
  <si>
    <t xml:space="preserve"> -</t>
  </si>
  <si>
    <t>шт.</t>
  </si>
  <si>
    <t>км.</t>
  </si>
  <si>
    <t>п.м.</t>
  </si>
  <si>
    <t>м2</t>
  </si>
  <si>
    <t>т</t>
  </si>
  <si>
    <t xml:space="preserve"> шт.</t>
  </si>
  <si>
    <t>Реконструкция путепровода через железную дорогу  и моста через р.Ингода в пгт. Дарасун на автомобильной дороге подъезд к пгт. Дарасун Карымского района Забайкальского края (1 этап)</t>
  </si>
  <si>
    <t>Обоснование и расчет начальной (максимальной) цены контракта на выполнение работ по  реконструкции путепровода через железную дорогу и моста через р.Ингода в пгт. Дарасун на автомобильной дороге подъезд к пгт. Дарасун Карымского района Забайкальского края (1 этап)</t>
  </si>
  <si>
    <t>И.о. министра территориального развития 
 Забайкальского края</t>
  </si>
  <si>
    <t>____________________ К.Б. Суздальницкий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</si>
</sst>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#,##0.00000000"/>
    <numFmt numFmtId="167" formatCode="#,##0.0000000"/>
  </numFmts>
  <fonts count="68">
    <font>
      <sz val="10"/>
      <name val="Arial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9"/>
      <name val="Arial Narrow"/>
      <family val="2"/>
      <charset val="204"/>
    </font>
    <font>
      <b/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3"/>
      <name val="Arial Narrow"/>
      <family val="2"/>
      <charset val="204"/>
    </font>
    <font>
      <sz val="12"/>
      <name val="Times New Roman Cyr"/>
      <charset val="204"/>
    </font>
    <font>
      <sz val="10"/>
      <color theme="4"/>
      <name val="Arial Narrow"/>
      <family val="2"/>
      <charset val="204"/>
    </font>
    <font>
      <i/>
      <sz val="12"/>
      <name val="Times New Roman"/>
      <family val="1"/>
      <charset val="204"/>
    </font>
    <font>
      <i/>
      <sz val="10"/>
      <name val="Arial Narrow"/>
      <family val="2"/>
      <charset val="204"/>
    </font>
    <font>
      <i/>
      <sz val="12"/>
      <color theme="0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name val="Times New Roman Cyr"/>
      <charset val="204"/>
    </font>
    <font>
      <sz val="12"/>
      <color rgb="FF0070C0"/>
      <name val="Times New Roman Cyr"/>
      <charset val="204"/>
    </font>
    <font>
      <sz val="9"/>
      <name val="Times New Roman Cyr"/>
      <charset val="204"/>
    </font>
    <font>
      <b/>
      <i/>
      <sz val="8"/>
      <name val="Times New Roman"/>
      <family val="1"/>
      <charset val="204"/>
    </font>
    <font>
      <sz val="9"/>
      <color rgb="FF0070C0"/>
      <name val="Arial Cyr"/>
      <charset val="204"/>
    </font>
    <font>
      <i/>
      <sz val="12"/>
      <color rgb="FF0070C0"/>
      <name val="Times New Roman Cyr"/>
      <charset val="204"/>
    </font>
    <font>
      <sz val="12"/>
      <color rgb="FF00B0F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9"/>
      <color theme="0"/>
      <name val="Arial Cyr"/>
      <charset val="204"/>
    </font>
    <font>
      <sz val="12"/>
      <color theme="0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Narrow"/>
      <family val="2"/>
      <charset val="204"/>
    </font>
    <font>
      <b/>
      <sz val="12"/>
      <color theme="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 Narrow"/>
      <family val="2"/>
      <charset val="204"/>
    </font>
    <font>
      <b/>
      <sz val="12"/>
      <color rgb="FF0070C0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 Cyr"/>
      <charset val="204"/>
    </font>
    <font>
      <b/>
      <i/>
      <sz val="12"/>
      <color rgb="FF0070C0"/>
      <name val="Times New Roman Cyr"/>
      <charset val="204"/>
    </font>
    <font>
      <b/>
      <i/>
      <sz val="12"/>
      <name val="Times New Roman Cyr"/>
      <charset val="204"/>
    </font>
    <font>
      <b/>
      <i/>
      <sz val="9"/>
      <name val="Arial Narrow"/>
      <family val="2"/>
      <charset val="204"/>
    </font>
    <font>
      <i/>
      <sz val="9"/>
      <name val="Arial Narrow"/>
      <family val="2"/>
      <charset val="204"/>
    </font>
    <font>
      <i/>
      <sz val="9"/>
      <name val="Times New Roman Cyr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i/>
      <sz val="10"/>
      <color theme="0"/>
      <name val="Times New Roman"/>
      <family val="1"/>
      <charset val="204"/>
    </font>
    <font>
      <i/>
      <sz val="12"/>
      <color rgb="FF00B0F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b/>
      <i/>
      <sz val="12"/>
      <color rgb="FF00B0F0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26" fillId="0" borderId="0"/>
    <xf numFmtId="0" fontId="26" fillId="0" borderId="0"/>
  </cellStyleXfs>
  <cellXfs count="277">
    <xf numFmtId="0" fontId="0" fillId="0" borderId="0" xfId="0"/>
    <xf numFmtId="0" fontId="5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4" fontId="5" fillId="0" borderId="0" xfId="0" applyNumberFormat="1" applyFont="1"/>
    <xf numFmtId="0" fontId="7" fillId="0" borderId="0" xfId="0" applyFont="1"/>
    <xf numFmtId="164" fontId="5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11" fillId="0" borderId="0" xfId="0" applyFont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4" fontId="5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15" fillId="0" borderId="0" xfId="0" applyNumberFormat="1" applyFont="1"/>
    <xf numFmtId="0" fontId="15" fillId="0" borderId="0" xfId="0" applyFont="1"/>
    <xf numFmtId="0" fontId="16" fillId="0" borderId="0" xfId="0" applyFont="1"/>
    <xf numFmtId="4" fontId="16" fillId="0" borderId="0" xfId="0" applyNumberFormat="1" applyFont="1"/>
    <xf numFmtId="4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4" fontId="22" fillId="0" borderId="0" xfId="0" applyNumberFormat="1" applyFont="1"/>
    <xf numFmtId="0" fontId="23" fillId="0" borderId="0" xfId="0" applyFont="1"/>
    <xf numFmtId="0" fontId="24" fillId="0" borderId="0" xfId="0" applyFont="1"/>
    <xf numFmtId="3" fontId="8" fillId="0" borderId="1" xfId="2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" fillId="0" borderId="0" xfId="0" applyFont="1"/>
    <xf numFmtId="4" fontId="27" fillId="3" borderId="3" xfId="3" applyNumberFormat="1" applyFont="1" applyFill="1" applyBorder="1" applyAlignment="1">
      <alignment horizontal="center" vertical="center"/>
    </xf>
    <xf numFmtId="4" fontId="28" fillId="3" borderId="1" xfId="3" applyNumberFormat="1" applyFont="1" applyFill="1" applyBorder="1" applyAlignment="1">
      <alignment horizontal="center" vertical="center"/>
    </xf>
    <xf numFmtId="4" fontId="27" fillId="3" borderId="1" xfId="3" applyNumberFormat="1" applyFont="1" applyFill="1" applyBorder="1" applyAlignment="1">
      <alignment horizontal="center" vertical="center"/>
    </xf>
    <xf numFmtId="4" fontId="28" fillId="0" borderId="3" xfId="3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2" fontId="18" fillId="0" borderId="4" xfId="0" applyNumberFormat="1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/>
    </xf>
    <xf numFmtId="2" fontId="33" fillId="0" borderId="1" xfId="2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164" fontId="20" fillId="0" borderId="1" xfId="2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1" xfId="2" applyNumberFormat="1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4" fontId="20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/>
    <xf numFmtId="0" fontId="38" fillId="0" borderId="1" xfId="0" applyFont="1" applyBorder="1"/>
    <xf numFmtId="4" fontId="38" fillId="0" borderId="1" xfId="0" applyNumberFormat="1" applyFont="1" applyBorder="1"/>
    <xf numFmtId="4" fontId="37" fillId="0" borderId="1" xfId="0" applyNumberFormat="1" applyFont="1" applyBorder="1" applyAlignment="1">
      <alignment horizontal="center" vertical="center" wrapText="1"/>
    </xf>
    <xf numFmtId="4" fontId="39" fillId="0" borderId="1" xfId="2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4" fontId="42" fillId="0" borderId="1" xfId="2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top" wrapText="1"/>
    </xf>
    <xf numFmtId="165" fontId="4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2" fontId="44" fillId="2" borderId="1" xfId="0" applyNumberFormat="1" applyFont="1" applyFill="1" applyBorder="1" applyAlignment="1">
      <alignment horizontal="center" vertical="top" wrapText="1"/>
    </xf>
    <xf numFmtId="2" fontId="43" fillId="0" borderId="1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46" fillId="0" borderId="0" xfId="0" applyFont="1"/>
    <xf numFmtId="4" fontId="46" fillId="0" borderId="0" xfId="0" applyNumberFormat="1" applyFont="1"/>
    <xf numFmtId="0" fontId="47" fillId="0" borderId="0" xfId="0" applyFont="1"/>
    <xf numFmtId="0" fontId="48" fillId="0" borderId="0" xfId="0" applyFont="1"/>
    <xf numFmtId="0" fontId="6" fillId="0" borderId="1" xfId="2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9" fontId="18" fillId="0" borderId="4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42" fillId="0" borderId="0" xfId="2" applyNumberFormat="1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/>
    <xf numFmtId="0" fontId="16" fillId="0" borderId="0" xfId="0" applyFont="1" applyBorder="1"/>
    <xf numFmtId="166" fontId="5" fillId="0" borderId="0" xfId="2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4" fontId="52" fillId="0" borderId="1" xfId="2" applyNumberFormat="1" applyFont="1" applyFill="1" applyBorder="1" applyAlignment="1">
      <alignment horizontal="center" vertical="center" wrapText="1"/>
    </xf>
    <xf numFmtId="167" fontId="52" fillId="0" borderId="1" xfId="2" applyNumberFormat="1" applyFont="1" applyFill="1" applyBorder="1" applyAlignment="1">
      <alignment horizontal="center" vertical="center" wrapText="1"/>
    </xf>
    <xf numFmtId="4" fontId="53" fillId="0" borderId="1" xfId="2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6" fillId="0" borderId="1" xfId="0" applyFont="1" applyFill="1" applyBorder="1" applyAlignment="1">
      <alignment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 applyAlignment="1"/>
    <xf numFmtId="0" fontId="6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4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/>
    </xf>
    <xf numFmtId="0" fontId="55" fillId="0" borderId="4" xfId="0" applyFont="1" applyFill="1" applyBorder="1" applyAlignment="1">
      <alignment horizontal="center" vertical="center" wrapText="1"/>
    </xf>
    <xf numFmtId="49" fontId="51" fillId="0" borderId="4" xfId="0" applyNumberFormat="1" applyFont="1" applyFill="1" applyBorder="1" applyAlignment="1">
      <alignment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0" fillId="0" borderId="0" xfId="0" applyNumberFormat="1" applyFont="1"/>
    <xf numFmtId="0" fontId="49" fillId="0" borderId="1" xfId="0" applyFont="1" applyFill="1" applyBorder="1" applyAlignment="1">
      <alignment horizontal="center" vertical="center" wrapText="1"/>
    </xf>
    <xf numFmtId="0" fontId="46" fillId="0" borderId="0" xfId="0" applyFont="1" applyBorder="1"/>
    <xf numFmtId="0" fontId="60" fillId="0" borderId="4" xfId="0" applyFont="1" applyFill="1" applyBorder="1" applyAlignment="1">
      <alignment horizontal="center" vertical="center" wrapText="1"/>
    </xf>
    <xf numFmtId="164" fontId="61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4" fontId="61" fillId="0" borderId="1" xfId="2" applyNumberFormat="1" applyFont="1" applyFill="1" applyBorder="1" applyAlignment="1">
      <alignment horizontal="center" vertical="center" wrapText="1"/>
    </xf>
    <xf numFmtId="167" fontId="61" fillId="0" borderId="1" xfId="2" applyNumberFormat="1" applyFont="1" applyFill="1" applyBorder="1" applyAlignment="1">
      <alignment horizontal="center" vertical="center" wrapText="1"/>
    </xf>
    <xf numFmtId="4" fontId="63" fillId="0" borderId="1" xfId="2" applyNumberFormat="1" applyFont="1" applyFill="1" applyBorder="1" applyAlignment="1">
      <alignment horizontal="center" vertical="center" wrapText="1"/>
    </xf>
    <xf numFmtId="4" fontId="64" fillId="0" borderId="0" xfId="0" applyNumberFormat="1" applyFont="1"/>
    <xf numFmtId="4" fontId="65" fillId="0" borderId="1" xfId="2" applyNumberFormat="1" applyFont="1" applyFill="1" applyBorder="1" applyAlignment="1">
      <alignment horizontal="center" vertical="center" wrapText="1"/>
    </xf>
    <xf numFmtId="4" fontId="66" fillId="0" borderId="0" xfId="0" applyNumberFormat="1" applyFont="1"/>
    <xf numFmtId="0" fontId="8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7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/>
    </xf>
    <xf numFmtId="49" fontId="67" fillId="0" borderId="1" xfId="0" applyNumberFormat="1" applyFont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2" fontId="6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164" fontId="6" fillId="0" borderId="0" xfId="0" applyNumberFormat="1" applyFont="1" applyAlignment="1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left" vertical="center" wrapText="1" readingOrder="1"/>
    </xf>
    <xf numFmtId="0" fontId="4" fillId="0" borderId="3" xfId="0" applyFont="1" applyFill="1" applyBorder="1" applyAlignment="1">
      <alignment horizontal="left" vertical="center" wrapText="1" readingOrder="1"/>
    </xf>
    <xf numFmtId="49" fontId="8" fillId="0" borderId="4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5">
    <cellStyle name="Обычный" xfId="0" builtinId="0"/>
    <cellStyle name="Обычный 10" xfId="4"/>
    <cellStyle name="Обычный 2" xfId="1"/>
    <cellStyle name="Обычный_Лист1" xfId="2"/>
    <cellStyle name="Обычный_ССР_Объектная смета (3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view="pageBreakPreview" topLeftCell="A88" zoomScaleNormal="100" zoomScaleSheetLayoutView="100" workbookViewId="0">
      <selection activeCell="G107" sqref="G107"/>
    </sheetView>
  </sheetViews>
  <sheetFormatPr defaultRowHeight="15.75"/>
  <cols>
    <col min="1" max="1" width="4.85546875" style="3" customWidth="1"/>
    <col min="2" max="2" width="17.28515625" style="3" customWidth="1"/>
    <col min="3" max="3" width="42.140625" style="3" customWidth="1"/>
    <col min="4" max="4" width="9.5703125" style="3" customWidth="1"/>
    <col min="5" max="5" width="9.28515625" style="3" customWidth="1"/>
    <col min="6" max="6" width="13.85546875" style="3" customWidth="1"/>
    <col min="7" max="7" width="16.42578125" style="3" customWidth="1"/>
    <col min="8" max="9" width="17.5703125" style="3" customWidth="1"/>
    <col min="10" max="10" width="17.28515625" style="3" customWidth="1"/>
    <col min="11" max="11" width="13.28515625" style="3" bestFit="1" customWidth="1"/>
    <col min="12" max="12" width="9.140625" style="3"/>
    <col min="13" max="13" width="12.140625" style="3" bestFit="1" customWidth="1"/>
    <col min="14" max="14" width="13.140625" style="3" bestFit="1" customWidth="1"/>
    <col min="15" max="15" width="11.28515625" style="15" bestFit="1" customWidth="1"/>
    <col min="16" max="16" width="9.140625" style="3"/>
    <col min="17" max="17" width="13.140625" style="3" bestFit="1" customWidth="1"/>
  </cols>
  <sheetData>
    <row r="1" spans="1:17">
      <c r="A1" s="3" t="s">
        <v>22</v>
      </c>
      <c r="D1" s="39"/>
      <c r="E1" s="39"/>
      <c r="G1" s="43" t="s">
        <v>2</v>
      </c>
      <c r="H1" s="43"/>
      <c r="I1" s="43"/>
      <c r="K1"/>
      <c r="L1"/>
      <c r="M1"/>
      <c r="N1"/>
      <c r="O1"/>
      <c r="P1"/>
      <c r="Q1"/>
    </row>
    <row r="2" spans="1:17" ht="12.75" customHeight="1">
      <c r="A2" s="256" t="s">
        <v>32</v>
      </c>
      <c r="B2" s="256"/>
      <c r="C2" s="256"/>
      <c r="D2" s="13"/>
      <c r="G2" s="257" t="s">
        <v>30</v>
      </c>
      <c r="H2" s="257"/>
      <c r="I2" s="257"/>
      <c r="J2" s="257"/>
      <c r="K2"/>
      <c r="L2"/>
      <c r="M2"/>
      <c r="N2"/>
      <c r="O2"/>
      <c r="P2"/>
      <c r="Q2"/>
    </row>
    <row r="3" spans="1:17" ht="23.25" customHeight="1">
      <c r="A3" s="256"/>
      <c r="B3" s="256"/>
      <c r="C3" s="256"/>
      <c r="D3" s="13"/>
      <c r="G3" s="257"/>
      <c r="H3" s="257"/>
      <c r="I3" s="257"/>
      <c r="J3" s="257"/>
      <c r="K3"/>
      <c r="L3"/>
      <c r="M3"/>
      <c r="N3"/>
      <c r="O3"/>
      <c r="P3"/>
      <c r="Q3"/>
    </row>
    <row r="4" spans="1:17" ht="18" customHeight="1">
      <c r="C4" s="13"/>
      <c r="D4" s="13"/>
      <c r="G4"/>
      <c r="H4"/>
      <c r="I4"/>
      <c r="J4" s="13"/>
      <c r="K4"/>
      <c r="L4"/>
      <c r="M4"/>
      <c r="N4"/>
      <c r="O4"/>
      <c r="P4"/>
      <c r="Q4"/>
    </row>
    <row r="5" spans="1:17">
      <c r="A5" s="40" t="s">
        <v>137</v>
      </c>
      <c r="C5" s="40"/>
      <c r="G5" s="253" t="s">
        <v>33</v>
      </c>
      <c r="H5" s="254"/>
      <c r="I5" s="254"/>
      <c r="J5" s="254"/>
      <c r="K5"/>
      <c r="L5"/>
      <c r="M5"/>
      <c r="N5"/>
      <c r="O5"/>
      <c r="P5"/>
      <c r="Q5"/>
    </row>
    <row r="6" spans="1:17">
      <c r="A6" s="3" t="s">
        <v>138</v>
      </c>
      <c r="B6" s="39"/>
      <c r="G6" s="3" t="s">
        <v>138</v>
      </c>
      <c r="K6"/>
      <c r="L6"/>
      <c r="M6"/>
      <c r="N6"/>
      <c r="O6"/>
      <c r="P6"/>
      <c r="Q6"/>
    </row>
    <row r="7" spans="1:17">
      <c r="A7" s="39"/>
      <c r="B7" s="39"/>
      <c r="F7" s="44"/>
      <c r="G7"/>
      <c r="H7"/>
      <c r="I7"/>
      <c r="J7"/>
      <c r="K7"/>
      <c r="L7"/>
      <c r="M7"/>
      <c r="N7"/>
      <c r="O7"/>
      <c r="P7"/>
      <c r="Q7"/>
    </row>
    <row r="8" spans="1:17" ht="54.75" customHeight="1">
      <c r="A8" s="258" t="s">
        <v>34</v>
      </c>
      <c r="B8" s="258"/>
      <c r="C8" s="258"/>
      <c r="D8" s="258"/>
      <c r="E8" s="258"/>
      <c r="F8" s="258"/>
      <c r="G8" s="258"/>
      <c r="H8" s="258"/>
      <c r="I8" s="258"/>
      <c r="J8" s="258"/>
      <c r="K8"/>
      <c r="L8"/>
      <c r="M8"/>
      <c r="N8"/>
      <c r="O8"/>
      <c r="P8"/>
      <c r="Q8"/>
    </row>
    <row r="9" spans="1:17" s="45" customFormat="1" ht="57.75" customHeight="1">
      <c r="A9" s="259" t="s">
        <v>24</v>
      </c>
      <c r="B9" s="259"/>
      <c r="C9" s="260" t="s">
        <v>35</v>
      </c>
      <c r="D9" s="261"/>
      <c r="E9" s="261"/>
      <c r="F9" s="261"/>
      <c r="G9" s="261"/>
      <c r="H9" s="261"/>
      <c r="I9" s="261"/>
      <c r="J9" s="262"/>
    </row>
    <row r="10" spans="1:17" s="45" customFormat="1" ht="162" customHeight="1">
      <c r="A10" s="248" t="s">
        <v>25</v>
      </c>
      <c r="B10" s="249"/>
      <c r="C10" s="250" t="s">
        <v>36</v>
      </c>
      <c r="D10" s="251"/>
      <c r="E10" s="251"/>
      <c r="F10" s="251"/>
      <c r="G10" s="251"/>
      <c r="H10" s="251"/>
      <c r="I10" s="251"/>
      <c r="J10" s="252"/>
    </row>
    <row r="11" spans="1:17" ht="20.25" customHeight="1">
      <c r="A11" s="50"/>
      <c r="B11" s="55" t="s">
        <v>26</v>
      </c>
      <c r="C11" s="51"/>
      <c r="D11" s="46"/>
      <c r="E11" s="47"/>
      <c r="F11" s="47"/>
      <c r="G11" s="48"/>
      <c r="H11" s="48"/>
      <c r="I11" s="48"/>
      <c r="J11" s="49"/>
      <c r="K11"/>
      <c r="L11"/>
      <c r="M11"/>
      <c r="N11"/>
      <c r="O11"/>
      <c r="P11"/>
      <c r="Q11"/>
    </row>
    <row r="12" spans="1:17" ht="94.5">
      <c r="A12" s="4" t="s">
        <v>7</v>
      </c>
      <c r="B12" s="4" t="s">
        <v>8</v>
      </c>
      <c r="C12" s="5" t="s">
        <v>0</v>
      </c>
      <c r="D12" s="1" t="s">
        <v>4</v>
      </c>
      <c r="E12" s="2" t="s">
        <v>6</v>
      </c>
      <c r="F12" s="4" t="s">
        <v>13</v>
      </c>
      <c r="G12" s="4" t="s">
        <v>154</v>
      </c>
      <c r="H12" s="4" t="s">
        <v>152</v>
      </c>
      <c r="I12" s="4" t="s">
        <v>153</v>
      </c>
      <c r="J12" s="4" t="s">
        <v>10</v>
      </c>
    </row>
    <row r="13" spans="1:17">
      <c r="A13" s="4">
        <v>1</v>
      </c>
      <c r="B13" s="4">
        <v>2</v>
      </c>
      <c r="C13" s="5">
        <v>3</v>
      </c>
      <c r="D13" s="1">
        <v>4</v>
      </c>
      <c r="E13" s="2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1"/>
      <c r="L13" s="41"/>
      <c r="M13" s="41"/>
      <c r="N13" s="41"/>
      <c r="O13" s="42"/>
      <c r="P13" s="41"/>
      <c r="Q13" s="41"/>
    </row>
    <row r="14" spans="1:17">
      <c r="A14" s="4"/>
      <c r="B14" s="4"/>
      <c r="C14" s="72" t="s">
        <v>29</v>
      </c>
      <c r="D14" s="1"/>
      <c r="E14" s="2"/>
      <c r="F14" s="4"/>
      <c r="G14" s="4"/>
      <c r="H14" s="4"/>
      <c r="I14" s="4"/>
      <c r="J14" s="4"/>
      <c r="K14" s="41"/>
      <c r="L14" s="41"/>
      <c r="M14" s="41"/>
      <c r="N14" s="41"/>
      <c r="O14" s="42"/>
      <c r="P14" s="41"/>
      <c r="Q14" s="41"/>
    </row>
    <row r="15" spans="1:17">
      <c r="A15" s="4">
        <v>1</v>
      </c>
      <c r="B15" s="71" t="s">
        <v>37</v>
      </c>
      <c r="C15" s="14" t="s">
        <v>38</v>
      </c>
      <c r="D15" s="1" t="s">
        <v>9</v>
      </c>
      <c r="E15" s="8">
        <v>10</v>
      </c>
      <c r="F15" s="9">
        <v>859.49</v>
      </c>
      <c r="G15" s="10">
        <f>F15*3.93</f>
        <v>3377.7957000000001</v>
      </c>
      <c r="H15" s="10">
        <f>(F15-G15/3.93)*3.93*1.042</f>
        <v>0</v>
      </c>
      <c r="I15" s="10">
        <v>0</v>
      </c>
      <c r="J15" s="10">
        <f>I15+H15+G15</f>
        <v>3377.7957000000001</v>
      </c>
      <c r="N15" s="16"/>
      <c r="Q15" s="16"/>
    </row>
    <row r="16" spans="1:17" ht="31.5">
      <c r="A16" s="4"/>
      <c r="B16" s="74" t="s">
        <v>50</v>
      </c>
      <c r="C16" s="14" t="s">
        <v>66</v>
      </c>
      <c r="D16" s="130"/>
      <c r="E16" s="131"/>
      <c r="F16" s="8">
        <f>12.919+10.335</f>
        <v>23.254000000000001</v>
      </c>
      <c r="G16" s="10">
        <f>F16*3.93</f>
        <v>91.388220000000004</v>
      </c>
      <c r="H16" s="10">
        <f>(F16-G16/3.93)*3.93*1.042</f>
        <v>0</v>
      </c>
      <c r="I16" s="9"/>
      <c r="J16" s="10">
        <f t="shared" ref="J16:J28" si="0">I16+H16+G16</f>
        <v>91.388220000000004</v>
      </c>
      <c r="N16" s="16"/>
      <c r="Q16" s="16"/>
    </row>
    <row r="17" spans="1:17" ht="31.5" customHeight="1">
      <c r="A17" s="4">
        <v>2</v>
      </c>
      <c r="B17" s="71" t="s">
        <v>37</v>
      </c>
      <c r="C17" s="14" t="s">
        <v>155</v>
      </c>
      <c r="D17" s="1" t="s">
        <v>9</v>
      </c>
      <c r="E17" s="8">
        <v>10</v>
      </c>
      <c r="F17" s="9">
        <f>136.85681/3.7</f>
        <v>36.988327027027026</v>
      </c>
      <c r="G17" s="10">
        <f>F17*11.04</f>
        <v>408.35113037837834</v>
      </c>
      <c r="H17" s="10">
        <f>(F17-G17/11.04)*11.04*1.042</f>
        <v>0</v>
      </c>
      <c r="I17" s="9">
        <v>0</v>
      </c>
      <c r="J17" s="10">
        <f t="shared" si="0"/>
        <v>408.35113037837834</v>
      </c>
      <c r="N17" s="16"/>
      <c r="Q17" s="16"/>
    </row>
    <row r="18" spans="1:17" ht="15.75" customHeight="1">
      <c r="A18" s="4">
        <v>3</v>
      </c>
      <c r="B18" s="73" t="s">
        <v>40</v>
      </c>
      <c r="C18" s="103" t="s">
        <v>49</v>
      </c>
      <c r="D18" s="1"/>
      <c r="E18" s="8"/>
      <c r="F18" s="8">
        <f>1437.68/5.31</f>
        <v>270.74952919020717</v>
      </c>
      <c r="G18" s="9">
        <v>0</v>
      </c>
      <c r="H18" s="9">
        <v>0</v>
      </c>
      <c r="I18" s="9">
        <f>F18*11.04/1.042*1.055</f>
        <v>3026.3665224416318</v>
      </c>
      <c r="J18" s="10">
        <f t="shared" si="0"/>
        <v>3026.3665224416318</v>
      </c>
      <c r="N18" s="16"/>
      <c r="Q18" s="16"/>
    </row>
    <row r="19" spans="1:17">
      <c r="A19" s="4">
        <v>4</v>
      </c>
      <c r="B19" s="73" t="s">
        <v>40</v>
      </c>
      <c r="C19" s="103" t="s">
        <v>39</v>
      </c>
      <c r="D19" s="1"/>
      <c r="F19" s="8">
        <f>40.875/5.31</f>
        <v>7.6977401129943512</v>
      </c>
      <c r="G19" s="9">
        <v>0</v>
      </c>
      <c r="H19" s="9">
        <v>0</v>
      </c>
      <c r="I19" s="9">
        <f>F19*11.04/1.042*1.055</f>
        <v>86.043300042291548</v>
      </c>
      <c r="J19" s="10">
        <f t="shared" si="0"/>
        <v>86.043300042291548</v>
      </c>
      <c r="N19" s="16"/>
      <c r="Q19" s="16"/>
    </row>
    <row r="20" spans="1:17">
      <c r="A20" s="4">
        <v>5</v>
      </c>
      <c r="B20" s="52" t="s">
        <v>41</v>
      </c>
      <c r="C20" s="14" t="s">
        <v>42</v>
      </c>
      <c r="D20" s="130" t="s">
        <v>9</v>
      </c>
      <c r="E20" s="131">
        <v>11.816000000000001</v>
      </c>
      <c r="F20" s="8">
        <v>2384.5</v>
      </c>
      <c r="G20" s="9">
        <f>F20*7.05</f>
        <v>16810.724999999999</v>
      </c>
      <c r="H20" s="10">
        <f>(F20-G20/7.05)*7.05*1.042</f>
        <v>0</v>
      </c>
      <c r="I20" s="9">
        <v>0</v>
      </c>
      <c r="J20" s="10">
        <f t="shared" si="0"/>
        <v>16810.724999999999</v>
      </c>
      <c r="N20" s="16"/>
      <c r="Q20" s="16"/>
    </row>
    <row r="21" spans="1:17">
      <c r="A21" s="4"/>
      <c r="B21" s="52" t="s">
        <v>43</v>
      </c>
      <c r="C21" s="132" t="s">
        <v>46</v>
      </c>
      <c r="D21" s="130"/>
      <c r="E21" s="131"/>
      <c r="F21" s="133">
        <v>458.76</v>
      </c>
      <c r="G21" s="9">
        <f>F21*7.05</f>
        <v>3234.2579999999998</v>
      </c>
      <c r="H21" s="10">
        <f t="shared" ref="H21:H28" si="1">(F21-G21/7.05)*7.05*1.042</f>
        <v>0</v>
      </c>
      <c r="I21" s="9">
        <v>0</v>
      </c>
      <c r="J21" s="10">
        <f t="shared" si="0"/>
        <v>3234.2579999999998</v>
      </c>
      <c r="N21" s="16"/>
      <c r="Q21" s="16"/>
    </row>
    <row r="22" spans="1:17">
      <c r="A22" s="4"/>
      <c r="B22" s="52" t="s">
        <v>44</v>
      </c>
      <c r="C22" s="132" t="s">
        <v>47</v>
      </c>
      <c r="D22" s="130" t="s">
        <v>12</v>
      </c>
      <c r="E22" s="131"/>
      <c r="F22" s="133">
        <v>915.64</v>
      </c>
      <c r="G22" s="9">
        <v>0</v>
      </c>
      <c r="H22" s="10">
        <v>0</v>
      </c>
      <c r="I22" s="9">
        <f>F22*7.05*1.042*1.055</f>
        <v>7096.3340692199999</v>
      </c>
      <c r="J22" s="10">
        <f t="shared" si="0"/>
        <v>7096.3340692199999</v>
      </c>
      <c r="N22" s="16"/>
      <c r="Q22" s="16"/>
    </row>
    <row r="23" spans="1:17">
      <c r="A23" s="4"/>
      <c r="B23" s="52" t="s">
        <v>45</v>
      </c>
      <c r="C23" s="132" t="s">
        <v>48</v>
      </c>
      <c r="D23" s="130" t="s">
        <v>12</v>
      </c>
      <c r="E23" s="131"/>
      <c r="F23" s="133">
        <v>254.71</v>
      </c>
      <c r="G23" s="9">
        <v>0</v>
      </c>
      <c r="H23" s="10">
        <v>0</v>
      </c>
      <c r="I23" s="9">
        <f>F23*7.05*1.042*1.055</f>
        <v>1974.037013205</v>
      </c>
      <c r="J23" s="10">
        <f t="shared" si="0"/>
        <v>1974.037013205</v>
      </c>
      <c r="N23" s="16"/>
      <c r="Q23" s="16"/>
    </row>
    <row r="24" spans="1:17" ht="15.75" customHeight="1">
      <c r="A24" s="4"/>
      <c r="B24" s="52" t="s">
        <v>51</v>
      </c>
      <c r="C24" s="14" t="s">
        <v>52</v>
      </c>
      <c r="D24" s="130"/>
      <c r="E24" s="131"/>
      <c r="F24" s="8">
        <v>502.92</v>
      </c>
      <c r="G24" s="9">
        <f>F24*7.05</f>
        <v>3545.5860000000002</v>
      </c>
      <c r="H24" s="10">
        <f t="shared" si="1"/>
        <v>-4.1757743929338175E-13</v>
      </c>
      <c r="I24" s="9">
        <v>0</v>
      </c>
      <c r="J24" s="10">
        <f t="shared" si="0"/>
        <v>3545.5859999999998</v>
      </c>
      <c r="N24" s="16"/>
      <c r="Q24" s="16"/>
    </row>
    <row r="25" spans="1:17">
      <c r="A25" s="4"/>
      <c r="B25" s="52" t="s">
        <v>54</v>
      </c>
      <c r="C25" s="14" t="s">
        <v>55</v>
      </c>
      <c r="D25" s="130"/>
      <c r="E25" s="131"/>
      <c r="F25" s="8">
        <v>244.57</v>
      </c>
      <c r="G25" s="9">
        <f>F25*7.05</f>
        <v>1724.2184999999999</v>
      </c>
      <c r="H25" s="10">
        <f t="shared" si="1"/>
        <v>0</v>
      </c>
      <c r="I25" s="9">
        <v>0</v>
      </c>
      <c r="J25" s="10">
        <f t="shared" si="0"/>
        <v>1724.2184999999999</v>
      </c>
      <c r="N25" s="16"/>
      <c r="Q25" s="16"/>
    </row>
    <row r="26" spans="1:17" ht="31.5">
      <c r="A26" s="4"/>
      <c r="B26" s="52" t="s">
        <v>53</v>
      </c>
      <c r="C26" s="14" t="s">
        <v>57</v>
      </c>
      <c r="D26" s="130"/>
      <c r="E26" s="131"/>
      <c r="F26" s="8">
        <v>169.53</v>
      </c>
      <c r="G26" s="9">
        <f t="shared" ref="G26:G28" si="2">F26*7.05</f>
        <v>1195.1865</v>
      </c>
      <c r="H26" s="10">
        <f t="shared" si="1"/>
        <v>0</v>
      </c>
      <c r="I26" s="9">
        <v>0</v>
      </c>
      <c r="J26" s="10">
        <f t="shared" si="0"/>
        <v>1195.1865</v>
      </c>
      <c r="N26" s="16"/>
      <c r="Q26" s="16"/>
    </row>
    <row r="27" spans="1:17" ht="31.5">
      <c r="A27" s="4"/>
      <c r="B27" s="52" t="s">
        <v>56</v>
      </c>
      <c r="C27" s="14" t="s">
        <v>58</v>
      </c>
      <c r="D27" s="130"/>
      <c r="E27" s="131"/>
      <c r="F27" s="8">
        <v>343.95</v>
      </c>
      <c r="G27" s="9">
        <f t="shared" si="2"/>
        <v>2424.8474999999999</v>
      </c>
      <c r="H27" s="10">
        <f t="shared" si="1"/>
        <v>0</v>
      </c>
      <c r="I27" s="9">
        <v>0</v>
      </c>
      <c r="J27" s="10">
        <f t="shared" si="0"/>
        <v>2424.8474999999999</v>
      </c>
      <c r="N27" s="16"/>
      <c r="Q27" s="16"/>
    </row>
    <row r="28" spans="1:17">
      <c r="A28" s="4"/>
      <c r="B28" s="52" t="s">
        <v>59</v>
      </c>
      <c r="C28" s="14" t="s">
        <v>60</v>
      </c>
      <c r="D28" s="130" t="s">
        <v>61</v>
      </c>
      <c r="E28" s="134">
        <v>400</v>
      </c>
      <c r="F28" s="8">
        <v>167.86</v>
      </c>
      <c r="G28" s="9">
        <f t="shared" si="2"/>
        <v>1183.413</v>
      </c>
      <c r="H28" s="10">
        <f t="shared" si="1"/>
        <v>0</v>
      </c>
      <c r="I28" s="9">
        <v>0</v>
      </c>
      <c r="J28" s="10">
        <f t="shared" si="0"/>
        <v>1183.413</v>
      </c>
      <c r="K28" s="68"/>
      <c r="N28" s="16"/>
      <c r="Q28" s="16"/>
    </row>
    <row r="29" spans="1:17">
      <c r="A29" s="20"/>
      <c r="B29" s="54"/>
      <c r="C29" s="21" t="s">
        <v>14</v>
      </c>
      <c r="D29" s="22"/>
      <c r="E29" s="23"/>
      <c r="F29" s="24">
        <f>SUM(F15:F28)</f>
        <v>6640.619596330228</v>
      </c>
      <c r="G29" s="24">
        <f>SUM(G15:G28)</f>
        <v>33995.769550378376</v>
      </c>
      <c r="H29" s="24">
        <f>SUM(H15:H28)</f>
        <v>-4.1757743929338175E-13</v>
      </c>
      <c r="I29" s="24">
        <f t="shared" ref="I29" si="3">SUM(I15:I28)</f>
        <v>12182.780904908923</v>
      </c>
      <c r="J29" s="24">
        <f>SUM(J15:J28)</f>
        <v>46178.550455287317</v>
      </c>
      <c r="K29" s="66">
        <f>SUM(G29:I29)</f>
        <v>46178.550455287303</v>
      </c>
      <c r="L29" s="25"/>
      <c r="M29" s="25"/>
      <c r="N29" s="26"/>
      <c r="O29" s="27"/>
      <c r="P29" s="25"/>
      <c r="Q29" s="26"/>
    </row>
    <row r="30" spans="1:17">
      <c r="A30" s="20"/>
      <c r="B30" s="54"/>
      <c r="C30" s="21" t="s">
        <v>62</v>
      </c>
      <c r="D30" s="22"/>
      <c r="E30" s="23"/>
      <c r="F30" s="24"/>
      <c r="G30" s="24"/>
      <c r="H30" s="24"/>
      <c r="I30" s="24"/>
      <c r="J30" s="24"/>
      <c r="K30" s="67"/>
      <c r="L30" s="25"/>
      <c r="M30" s="25"/>
      <c r="N30" s="26"/>
      <c r="O30" s="27"/>
      <c r="P30" s="25"/>
      <c r="Q30" s="26"/>
    </row>
    <row r="31" spans="1:17">
      <c r="A31" s="20"/>
      <c r="B31" s="54"/>
      <c r="C31" s="75" t="s">
        <v>64</v>
      </c>
      <c r="D31" s="22"/>
      <c r="E31" s="23"/>
      <c r="F31" s="24">
        <f>F15+F17+F18+F19+F20+F21+F22+F23+F28</f>
        <v>5356.3955963302287</v>
      </c>
      <c r="G31" s="24">
        <f>G15+G17+G18+G19+G20+G21+G22+G23+G28</f>
        <v>25014.542830378377</v>
      </c>
      <c r="H31" s="24">
        <f>H15+H17+H18+H19+H20+H21+H22+H23+H28</f>
        <v>0</v>
      </c>
      <c r="I31" s="24">
        <f t="shared" ref="I31" si="4">I15+I17+I18+I19+I20+I21+I22+I23+I28</f>
        <v>12182.780904908923</v>
      </c>
      <c r="J31" s="24">
        <f>J15+J17+J18+J19+J20+J21+J22+J23+J28</f>
        <v>37197.323735287304</v>
      </c>
      <c r="K31" s="67"/>
      <c r="L31" s="25"/>
      <c r="M31" s="25"/>
      <c r="N31" s="26"/>
      <c r="O31" s="27"/>
      <c r="P31" s="25"/>
      <c r="Q31" s="26"/>
    </row>
    <row r="32" spans="1:17">
      <c r="A32" s="20"/>
      <c r="B32" s="54"/>
      <c r="C32" s="75" t="s">
        <v>63</v>
      </c>
      <c r="D32" s="22"/>
      <c r="E32" s="23"/>
      <c r="F32" s="24">
        <f>12.919+F24+F26</f>
        <v>685.36900000000003</v>
      </c>
      <c r="G32" s="24">
        <f>12.919*3.93+G24+G26</f>
        <v>4791.5441700000001</v>
      </c>
      <c r="H32" s="24">
        <f>0*3.93+H24+H26</f>
        <v>-4.1757743929338175E-13</v>
      </c>
      <c r="I32" s="24">
        <f>0*3.93+I24+I26</f>
        <v>0</v>
      </c>
      <c r="J32" s="24">
        <f>12.92*3.93+J24+J26</f>
        <v>4791.5481</v>
      </c>
      <c r="K32" s="67"/>
      <c r="L32" s="25"/>
      <c r="M32" s="25"/>
      <c r="N32" s="26"/>
      <c r="O32" s="27"/>
      <c r="P32" s="25"/>
      <c r="Q32" s="26"/>
    </row>
    <row r="33" spans="1:17" ht="15.75" customHeight="1">
      <c r="A33" s="20"/>
      <c r="B33" s="54"/>
      <c r="C33" s="75" t="s">
        <v>65</v>
      </c>
      <c r="D33" s="22"/>
      <c r="E33" s="23"/>
      <c r="F33" s="24">
        <f>10.335+F25+F27</f>
        <v>598.85500000000002</v>
      </c>
      <c r="G33" s="24">
        <f>10.335*3.93+G25+G27</f>
        <v>4189.6825499999995</v>
      </c>
      <c r="H33" s="24">
        <f>0+H25+H27</f>
        <v>0</v>
      </c>
      <c r="I33" s="24">
        <f>0+I25+I27</f>
        <v>0</v>
      </c>
      <c r="J33" s="24">
        <f>10.335*3.93+J25+J27</f>
        <v>4189.6825499999995</v>
      </c>
      <c r="K33" s="67"/>
      <c r="L33" s="25"/>
      <c r="M33" s="25"/>
      <c r="N33" s="26"/>
      <c r="O33" s="27"/>
      <c r="P33" s="25"/>
      <c r="Q33" s="26"/>
    </row>
    <row r="34" spans="1:17" ht="15.75" customHeight="1">
      <c r="A34" s="4"/>
      <c r="B34" s="52"/>
      <c r="C34" s="18" t="s">
        <v>67</v>
      </c>
      <c r="D34" s="1"/>
      <c r="E34" s="53"/>
      <c r="F34" s="12">
        <f>F35+F49+F61</f>
        <v>65542.539999999994</v>
      </c>
      <c r="G34" s="12">
        <f t="shared" ref="G34:I34" si="5">G35+G49+G61</f>
        <v>9938.1650399999999</v>
      </c>
      <c r="H34" s="12">
        <f>H35+H49+H61</f>
        <v>177167.36732765994</v>
      </c>
      <c r="I34" s="12">
        <f t="shared" si="5"/>
        <v>308807.18046794774</v>
      </c>
      <c r="J34" s="12">
        <f>J35+J49+J61</f>
        <v>495912.71283560758</v>
      </c>
      <c r="K34" s="69">
        <f>SUM(G34:I34)</f>
        <v>495912.7128356077</v>
      </c>
      <c r="L34" s="68"/>
      <c r="M34" s="68"/>
      <c r="N34" s="68" t="e">
        <f>#REF!*1.0512*1.03225944*1.04014*1.03*1.18</f>
        <v>#REF!</v>
      </c>
      <c r="O34" s="69"/>
      <c r="Q34" s="16" t="e">
        <f>#REF!*1.0512*1.0322607</f>
        <v>#REF!</v>
      </c>
    </row>
    <row r="35" spans="1:17" s="84" customFormat="1" ht="24.75" customHeight="1">
      <c r="A35" s="76"/>
      <c r="B35" s="77"/>
      <c r="C35" s="92" t="s">
        <v>64</v>
      </c>
      <c r="D35" s="78"/>
      <c r="E35" s="79"/>
      <c r="F35" s="24">
        <f>SUM(F36:F48)</f>
        <v>54931.479999999989</v>
      </c>
      <c r="G35" s="24">
        <f>SUM(G36:G48)</f>
        <v>9938.1650399999999</v>
      </c>
      <c r="H35" s="24">
        <f t="shared" ref="H35:I35" si="6">SUM(H36:H48)</f>
        <v>161307.23292695996</v>
      </c>
      <c r="I35" s="24">
        <f t="shared" si="6"/>
        <v>243581.21291314514</v>
      </c>
      <c r="J35" s="24">
        <f>SUM(J36:J48)</f>
        <v>414826.610880105</v>
      </c>
      <c r="K35" s="69">
        <f>SUM(G35:I35)</f>
        <v>414826.61088010506</v>
      </c>
      <c r="L35" s="81"/>
      <c r="M35" s="81"/>
      <c r="N35" s="81"/>
      <c r="O35" s="82"/>
      <c r="P35" s="80"/>
      <c r="Q35" s="83"/>
    </row>
    <row r="36" spans="1:17" ht="24.75" customHeight="1">
      <c r="A36" s="4">
        <v>9</v>
      </c>
      <c r="B36" s="52" t="s">
        <v>68</v>
      </c>
      <c r="C36" s="7" t="s">
        <v>82</v>
      </c>
      <c r="D36" s="1" t="s">
        <v>5</v>
      </c>
      <c r="E36" s="53"/>
      <c r="F36" s="9">
        <v>11747.24</v>
      </c>
      <c r="G36" s="9">
        <f>F36*7.05*12%</f>
        <v>9938.1650399999999</v>
      </c>
      <c r="H36" s="10">
        <f>(F36-G36/7.05)*7.05*1.042</f>
        <v>75940.831792319994</v>
      </c>
      <c r="I36" s="10">
        <f>(F36-G36/7.05-H36/7.05/1.042)*7.02*1.042*1.055</f>
        <v>0</v>
      </c>
      <c r="J36" s="10">
        <f>I36+H36+G36</f>
        <v>85878.996832320001</v>
      </c>
      <c r="K36" s="68"/>
      <c r="L36" s="68"/>
      <c r="M36" s="68"/>
      <c r="N36" s="68"/>
      <c r="O36" s="69"/>
      <c r="Q36" s="16">
        <v>0</v>
      </c>
    </row>
    <row r="37" spans="1:17" ht="24.75" customHeight="1">
      <c r="A37" s="4"/>
      <c r="B37" s="52" t="s">
        <v>69</v>
      </c>
      <c r="C37" s="7" t="s">
        <v>28</v>
      </c>
      <c r="D37" s="1"/>
      <c r="E37" s="53"/>
      <c r="F37" s="9">
        <v>14099.54</v>
      </c>
      <c r="G37" s="10">
        <v>0</v>
      </c>
      <c r="H37" s="10">
        <f>(F37-G37/7.05)*7.05*1.042*0.6</f>
        <v>62145.978476399992</v>
      </c>
      <c r="I37" s="10">
        <f t="shared" ref="I37:I72" si="7">(F37-G37/7.05-H37/7.05/1.042)*7.02*1.042*1.055</f>
        <v>43523.341011259217</v>
      </c>
      <c r="J37" s="10">
        <f t="shared" ref="J37:J72" si="8">I37+H37+G37</f>
        <v>105669.3194876592</v>
      </c>
      <c r="K37" s="68"/>
      <c r="L37" s="68"/>
      <c r="M37" s="68"/>
      <c r="N37" s="68"/>
      <c r="O37" s="69"/>
      <c r="Q37" s="16"/>
    </row>
    <row r="38" spans="1:17" ht="24.75" customHeight="1">
      <c r="A38" s="4"/>
      <c r="B38" s="52" t="s">
        <v>70</v>
      </c>
      <c r="C38" s="7" t="s">
        <v>27</v>
      </c>
      <c r="D38" s="1"/>
      <c r="E38" s="53"/>
      <c r="F38" s="9">
        <v>21698.14</v>
      </c>
      <c r="G38" s="10">
        <v>0</v>
      </c>
      <c r="H38" s="10">
        <f>(F38-G38/7.05)*7.05*1.042*0.01</f>
        <v>1593.9670625399999</v>
      </c>
      <c r="I38" s="10">
        <f t="shared" si="7"/>
        <v>165773.4562731733</v>
      </c>
      <c r="J38" s="10">
        <f t="shared" si="8"/>
        <v>167367.42333571331</v>
      </c>
      <c r="K38" s="68"/>
      <c r="L38" s="68"/>
      <c r="M38" s="68"/>
      <c r="N38" s="68"/>
      <c r="O38" s="69"/>
      <c r="Q38" s="16"/>
    </row>
    <row r="39" spans="1:17" ht="24.75" customHeight="1">
      <c r="A39" s="4"/>
      <c r="B39" s="52" t="s">
        <v>71</v>
      </c>
      <c r="C39" s="7" t="s">
        <v>83</v>
      </c>
      <c r="D39" s="1"/>
      <c r="E39" s="53"/>
      <c r="F39" s="9">
        <v>1492.09</v>
      </c>
      <c r="G39" s="10">
        <v>0</v>
      </c>
      <c r="H39" s="10">
        <f>(F39-G39/7.05)*7.05*1.042*0.6</f>
        <v>6576.6254093999996</v>
      </c>
      <c r="I39" s="10">
        <f t="shared" si="7"/>
        <v>4605.8766377831998</v>
      </c>
      <c r="J39" s="10">
        <f t="shared" si="8"/>
        <v>11182.502047183199</v>
      </c>
      <c r="K39" s="68"/>
      <c r="L39" s="68"/>
      <c r="M39" s="68"/>
      <c r="N39" s="68"/>
      <c r="O39" s="69"/>
      <c r="Q39" s="16"/>
    </row>
    <row r="40" spans="1:17" ht="33.75" customHeight="1">
      <c r="A40" s="4"/>
      <c r="B40" s="52" t="s">
        <v>72</v>
      </c>
      <c r="C40" s="14" t="s">
        <v>89</v>
      </c>
      <c r="D40" s="1"/>
      <c r="E40" s="53"/>
      <c r="F40" s="9">
        <v>570.88</v>
      </c>
      <c r="G40" s="10">
        <v>0</v>
      </c>
      <c r="H40" s="10">
        <f t="shared" ref="H40:H48" si="9">(F40-G40/7.05)*7.05*1.042</f>
        <v>4193.7415679999995</v>
      </c>
      <c r="I40" s="10">
        <f t="shared" si="7"/>
        <v>0</v>
      </c>
      <c r="J40" s="10">
        <f t="shared" si="8"/>
        <v>4193.7415679999995</v>
      </c>
      <c r="K40" s="68"/>
      <c r="L40" s="68"/>
      <c r="M40" s="68"/>
      <c r="N40" s="68"/>
      <c r="O40" s="69"/>
      <c r="Q40" s="16"/>
    </row>
    <row r="41" spans="1:17" ht="33.75" customHeight="1">
      <c r="A41" s="4"/>
      <c r="B41" s="52" t="s">
        <v>73</v>
      </c>
      <c r="C41" s="14" t="s">
        <v>90</v>
      </c>
      <c r="D41" s="1"/>
      <c r="E41" s="53"/>
      <c r="F41" s="9">
        <v>764.26</v>
      </c>
      <c r="G41" s="10">
        <v>0</v>
      </c>
      <c r="H41" s="10">
        <f t="shared" si="9"/>
        <v>5614.3303859999996</v>
      </c>
      <c r="I41" s="10">
        <f t="shared" si="7"/>
        <v>0</v>
      </c>
      <c r="J41" s="10">
        <f t="shared" si="8"/>
        <v>5614.3303859999996</v>
      </c>
      <c r="K41" s="68"/>
      <c r="L41" s="68"/>
      <c r="M41" s="68"/>
      <c r="N41" s="68"/>
      <c r="O41" s="69"/>
      <c r="Q41" s="16"/>
    </row>
    <row r="42" spans="1:17" ht="33.75" customHeight="1">
      <c r="A42" s="4"/>
      <c r="B42" s="52" t="s">
        <v>74</v>
      </c>
      <c r="C42" s="14" t="s">
        <v>91</v>
      </c>
      <c r="D42" s="1"/>
      <c r="E42" s="53"/>
      <c r="F42" s="9">
        <v>292.75</v>
      </c>
      <c r="G42" s="10">
        <v>0</v>
      </c>
      <c r="H42" s="10">
        <f t="shared" si="9"/>
        <v>2150.5707749999997</v>
      </c>
      <c r="I42" s="10">
        <f t="shared" si="7"/>
        <v>4.386695422908815E-13</v>
      </c>
      <c r="J42" s="10">
        <f t="shared" si="8"/>
        <v>2150.5707750000001</v>
      </c>
      <c r="K42" s="68"/>
      <c r="L42" s="68"/>
      <c r="M42" s="68"/>
      <c r="N42" s="68"/>
      <c r="O42" s="69"/>
      <c r="Q42" s="16"/>
    </row>
    <row r="43" spans="1:17" ht="24.75" customHeight="1">
      <c r="A43" s="4"/>
      <c r="B43" s="52" t="s">
        <v>75</v>
      </c>
      <c r="C43" s="7" t="s">
        <v>84</v>
      </c>
      <c r="D43" s="1"/>
      <c r="E43" s="53"/>
      <c r="F43" s="9">
        <v>219.24</v>
      </c>
      <c r="G43" s="10">
        <v>0</v>
      </c>
      <c r="H43" s="10">
        <f>(F43-G43/7.05)*7.05*1.042*0.5</f>
        <v>805.27948200000003</v>
      </c>
      <c r="I43" s="10">
        <f t="shared" si="7"/>
        <v>845.95466264399988</v>
      </c>
      <c r="J43" s="10">
        <f t="shared" si="8"/>
        <v>1651.234144644</v>
      </c>
      <c r="K43" s="68"/>
      <c r="L43" s="68"/>
      <c r="M43" s="68"/>
      <c r="N43" s="68"/>
      <c r="O43" s="69"/>
      <c r="Q43" s="16"/>
    </row>
    <row r="44" spans="1:17" ht="24.75" customHeight="1">
      <c r="A44" s="4"/>
      <c r="B44" s="52" t="s">
        <v>76</v>
      </c>
      <c r="C44" s="7" t="s">
        <v>85</v>
      </c>
      <c r="D44" s="1"/>
      <c r="E44" s="53"/>
      <c r="F44" s="9">
        <v>287.2</v>
      </c>
      <c r="G44" s="10">
        <v>0</v>
      </c>
      <c r="H44" s="10">
        <f t="shared" ref="H44" si="10">(F44-G44/7.05)*7.05*1.042*0.5</f>
        <v>1054.89996</v>
      </c>
      <c r="I44" s="10">
        <f t="shared" si="7"/>
        <v>1108.18363032</v>
      </c>
      <c r="J44" s="10">
        <f t="shared" si="8"/>
        <v>2163.08359032</v>
      </c>
      <c r="K44" s="68"/>
      <c r="L44" s="68"/>
      <c r="M44" s="68"/>
      <c r="N44" s="68"/>
      <c r="O44" s="69"/>
      <c r="Q44" s="16"/>
    </row>
    <row r="45" spans="1:17" ht="24.75" customHeight="1">
      <c r="A45" s="4"/>
      <c r="B45" s="52" t="s">
        <v>77</v>
      </c>
      <c r="C45" s="7" t="s">
        <v>86</v>
      </c>
      <c r="D45" s="1"/>
      <c r="E45" s="53"/>
      <c r="F45" s="9">
        <v>279.39</v>
      </c>
      <c r="G45" s="10">
        <v>0</v>
      </c>
      <c r="H45" s="10">
        <f>(F45-G45/7.05)*7.05*1.042*0.3</f>
        <v>615.72806370000001</v>
      </c>
      <c r="I45" s="10">
        <f t="shared" si="7"/>
        <v>1509.2673895025998</v>
      </c>
      <c r="J45" s="10">
        <f t="shared" si="8"/>
        <v>2124.9954532025999</v>
      </c>
      <c r="K45" s="68"/>
      <c r="L45" s="68"/>
      <c r="M45" s="68"/>
      <c r="N45" s="68"/>
      <c r="O45" s="69"/>
      <c r="Q45" s="16"/>
    </row>
    <row r="46" spans="1:17" ht="24.75" customHeight="1">
      <c r="A46" s="4"/>
      <c r="B46" s="52" t="s">
        <v>78</v>
      </c>
      <c r="C46" s="7" t="s">
        <v>87</v>
      </c>
      <c r="D46" s="1"/>
      <c r="E46" s="53"/>
      <c r="F46" s="9">
        <v>259.52</v>
      </c>
      <c r="G46" s="10">
        <v>0</v>
      </c>
      <c r="H46" s="10">
        <f>(F46-G46/7.05)*7.05*1.042*0.3</f>
        <v>571.93796159999999</v>
      </c>
      <c r="I46" s="10">
        <f t="shared" si="7"/>
        <v>1401.9294639167997</v>
      </c>
      <c r="J46" s="10">
        <f t="shared" si="8"/>
        <v>1973.8674255167998</v>
      </c>
      <c r="K46" s="68"/>
      <c r="L46" s="68"/>
      <c r="M46" s="68"/>
      <c r="N46" s="68"/>
      <c r="O46" s="69"/>
      <c r="Q46" s="16"/>
    </row>
    <row r="47" spans="1:17" ht="24.75" customHeight="1">
      <c r="A47" s="4"/>
      <c r="B47" s="52" t="s">
        <v>79</v>
      </c>
      <c r="C47" s="7" t="s">
        <v>88</v>
      </c>
      <c r="D47" s="1"/>
      <c r="E47" s="53"/>
      <c r="F47" s="9">
        <v>3215.33</v>
      </c>
      <c r="G47" s="10">
        <v>0</v>
      </c>
      <c r="H47" s="10">
        <f>(F47-G47/7.05)*7.05*1.042*0</f>
        <v>0</v>
      </c>
      <c r="I47" s="10">
        <f t="shared" si="7"/>
        <v>24813.203844545998</v>
      </c>
      <c r="J47" s="10">
        <f t="shared" si="8"/>
        <v>24813.203844545998</v>
      </c>
      <c r="K47" s="68"/>
      <c r="L47" s="68"/>
      <c r="M47" s="68"/>
      <c r="N47" s="68"/>
      <c r="O47" s="69"/>
      <c r="Q47" s="16"/>
    </row>
    <row r="48" spans="1:17" ht="31.5">
      <c r="A48" s="4"/>
      <c r="B48" s="52" t="s">
        <v>80</v>
      </c>
      <c r="C48" s="14" t="s">
        <v>81</v>
      </c>
      <c r="D48" s="1"/>
      <c r="E48" s="53"/>
      <c r="F48" s="9">
        <v>5.9</v>
      </c>
      <c r="G48" s="10">
        <v>0</v>
      </c>
      <c r="H48" s="10">
        <f t="shared" si="9"/>
        <v>43.341990000000003</v>
      </c>
      <c r="I48" s="10">
        <f t="shared" si="7"/>
        <v>0</v>
      </c>
      <c r="J48" s="10">
        <f t="shared" si="8"/>
        <v>43.341990000000003</v>
      </c>
      <c r="K48" s="68"/>
      <c r="L48" s="68"/>
      <c r="M48" s="68"/>
      <c r="N48" s="68"/>
      <c r="O48" s="69"/>
      <c r="Q48" s="16"/>
    </row>
    <row r="49" spans="1:17" s="86" customFormat="1" ht="24.75" customHeight="1">
      <c r="A49" s="20"/>
      <c r="B49" s="54"/>
      <c r="C49" s="75" t="s">
        <v>92</v>
      </c>
      <c r="D49" s="22"/>
      <c r="E49" s="85"/>
      <c r="F49" s="24">
        <f>SUM(F50:F60)</f>
        <v>5641.29</v>
      </c>
      <c r="G49" s="24">
        <f>SUM(G50:G60)</f>
        <v>0</v>
      </c>
      <c r="H49" s="24">
        <f t="shared" ref="H49:J49" si="11">SUM(H50:H60)</f>
        <v>7983.1464458999999</v>
      </c>
      <c r="I49" s="24">
        <f t="shared" si="11"/>
        <v>35148.335830990203</v>
      </c>
      <c r="J49" s="24">
        <f t="shared" si="11"/>
        <v>43131.482276890201</v>
      </c>
      <c r="K49" s="66">
        <f>SUM(G49:I49)</f>
        <v>43131.482276890201</v>
      </c>
      <c r="L49" s="67"/>
      <c r="M49" s="67"/>
      <c r="N49" s="67"/>
      <c r="O49" s="66"/>
      <c r="P49" s="25"/>
      <c r="Q49" s="26"/>
    </row>
    <row r="50" spans="1:17" s="87" customFormat="1" ht="24.75" customHeight="1">
      <c r="A50" s="4"/>
      <c r="B50" s="52" t="s">
        <v>93</v>
      </c>
      <c r="C50" s="7" t="s">
        <v>94</v>
      </c>
      <c r="D50" s="1"/>
      <c r="E50" s="53"/>
      <c r="F50" s="88">
        <v>954.34</v>
      </c>
      <c r="G50" s="10">
        <v>0</v>
      </c>
      <c r="H50" s="10">
        <f>(F50-G50/7.05)*7.05*1.042*0.7</f>
        <v>4907.4739517999997</v>
      </c>
      <c r="I50" s="10">
        <f t="shared" si="7"/>
        <v>2209.4372543724003</v>
      </c>
      <c r="J50" s="10">
        <f t="shared" si="8"/>
        <v>7116.9112061723999</v>
      </c>
      <c r="K50" s="68"/>
      <c r="L50" s="68"/>
      <c r="M50" s="68"/>
      <c r="N50" s="68"/>
      <c r="O50" s="69"/>
      <c r="P50" s="3"/>
      <c r="Q50" s="16"/>
    </row>
    <row r="51" spans="1:17" s="87" customFormat="1" ht="24.75" customHeight="1">
      <c r="A51" s="4"/>
      <c r="B51" s="52" t="s">
        <v>95</v>
      </c>
      <c r="C51" s="7" t="s">
        <v>96</v>
      </c>
      <c r="D51" s="1"/>
      <c r="E51" s="53"/>
      <c r="F51" s="88">
        <v>943.39</v>
      </c>
      <c r="G51" s="10">
        <v>0</v>
      </c>
      <c r="H51" s="10">
        <f>(F51-G51/7.05)*7.05*1.042*0.3</f>
        <v>2079.0711836999999</v>
      </c>
      <c r="I51" s="10">
        <f t="shared" si="7"/>
        <v>5096.2015912626002</v>
      </c>
      <c r="J51" s="10">
        <f t="shared" si="8"/>
        <v>7175.2727749626001</v>
      </c>
      <c r="K51" s="68"/>
      <c r="L51" s="68"/>
      <c r="M51" s="68"/>
      <c r="N51" s="68"/>
      <c r="O51" s="69"/>
      <c r="P51" s="3"/>
      <c r="Q51" s="16"/>
    </row>
    <row r="52" spans="1:17" s="87" customFormat="1" ht="24.75" customHeight="1">
      <c r="A52" s="4"/>
      <c r="B52" s="52" t="s">
        <v>97</v>
      </c>
      <c r="C52" s="7" t="s">
        <v>98</v>
      </c>
      <c r="D52" s="1"/>
      <c r="E52" s="53"/>
      <c r="F52" s="89">
        <v>41.64</v>
      </c>
      <c r="G52" s="10">
        <v>0</v>
      </c>
      <c r="H52" s="10">
        <f>(F52-G52/7.05)*7.05*1.042*0.5</f>
        <v>152.94580200000001</v>
      </c>
      <c r="I52" s="10">
        <f t="shared" si="7"/>
        <v>160.67119208399996</v>
      </c>
      <c r="J52" s="10">
        <f t="shared" si="8"/>
        <v>313.616994084</v>
      </c>
      <c r="K52" s="68"/>
      <c r="L52" s="68"/>
      <c r="M52" s="68"/>
      <c r="N52" s="68"/>
      <c r="O52" s="69"/>
      <c r="P52" s="3"/>
      <c r="Q52" s="16"/>
    </row>
    <row r="53" spans="1:17" s="87" customFormat="1" ht="24.75" customHeight="1">
      <c r="A53" s="4"/>
      <c r="B53" s="52" t="s">
        <v>99</v>
      </c>
      <c r="C53" s="7" t="s">
        <v>100</v>
      </c>
      <c r="D53" s="1"/>
      <c r="E53" s="53"/>
      <c r="F53" s="89">
        <v>2896.63</v>
      </c>
      <c r="G53" s="10">
        <v>0</v>
      </c>
      <c r="H53" s="10">
        <f t="shared" ref="H53:H58" si="12">(F53-G53/7.05)*7.05*1.042*0</f>
        <v>0</v>
      </c>
      <c r="I53" s="10">
        <f t="shared" si="7"/>
        <v>22353.746163606</v>
      </c>
      <c r="J53" s="10">
        <f t="shared" si="8"/>
        <v>22353.746163606</v>
      </c>
      <c r="K53" s="68"/>
      <c r="L53" s="68"/>
      <c r="M53" s="68"/>
      <c r="N53" s="68"/>
      <c r="O53" s="69"/>
      <c r="P53" s="3"/>
      <c r="Q53" s="16"/>
    </row>
    <row r="54" spans="1:17" s="87" customFormat="1" ht="31.5">
      <c r="A54" s="4"/>
      <c r="B54" s="52" t="s">
        <v>101</v>
      </c>
      <c r="C54" s="14" t="s">
        <v>102</v>
      </c>
      <c r="D54" s="1"/>
      <c r="E54" s="53"/>
      <c r="F54" s="89">
        <v>142.88999999999999</v>
      </c>
      <c r="G54" s="10">
        <v>0</v>
      </c>
      <c r="H54" s="10">
        <f t="shared" si="12"/>
        <v>0</v>
      </c>
      <c r="I54" s="10">
        <f t="shared" si="7"/>
        <v>1102.7044494179997</v>
      </c>
      <c r="J54" s="10">
        <f t="shared" si="8"/>
        <v>1102.7044494179997</v>
      </c>
      <c r="K54" s="68"/>
      <c r="L54" s="68"/>
      <c r="M54" s="68"/>
      <c r="N54" s="68"/>
      <c r="O54" s="69"/>
      <c r="P54" s="3"/>
      <c r="Q54" s="16"/>
    </row>
    <row r="55" spans="1:17" s="87" customFormat="1" ht="24.75" customHeight="1">
      <c r="A55" s="4"/>
      <c r="B55" s="52" t="s">
        <v>103</v>
      </c>
      <c r="C55" s="7" t="s">
        <v>104</v>
      </c>
      <c r="D55" s="1"/>
      <c r="E55" s="53"/>
      <c r="F55" s="90">
        <v>267.52</v>
      </c>
      <c r="G55" s="10">
        <v>0</v>
      </c>
      <c r="H55" s="10">
        <f>(F55-G55/7.05)*7.05*1.042*0.1</f>
        <v>196.52286720000001</v>
      </c>
      <c r="I55" s="10">
        <f t="shared" si="7"/>
        <v>1858.0442639615997</v>
      </c>
      <c r="J55" s="10">
        <f t="shared" si="8"/>
        <v>2054.5671311615997</v>
      </c>
      <c r="K55" s="68"/>
      <c r="L55" s="68"/>
      <c r="M55" s="68"/>
      <c r="N55" s="68"/>
      <c r="O55" s="69"/>
      <c r="P55" s="3"/>
      <c r="Q55" s="16"/>
    </row>
    <row r="56" spans="1:17" s="87" customFormat="1" ht="24.75" customHeight="1">
      <c r="A56" s="4"/>
      <c r="B56" s="52" t="s">
        <v>105</v>
      </c>
      <c r="C56" s="7" t="s">
        <v>106</v>
      </c>
      <c r="D56" s="1"/>
      <c r="E56" s="53"/>
      <c r="F56" s="90">
        <v>245.82</v>
      </c>
      <c r="G56" s="10">
        <v>0</v>
      </c>
      <c r="H56" s="10">
        <f>(F56-G56/7.05)*7.05*1.042*0.1</f>
        <v>180.58183020000001</v>
      </c>
      <c r="I56" s="10">
        <f t="shared" si="7"/>
        <v>1707.3282033755997</v>
      </c>
      <c r="J56" s="10">
        <f t="shared" si="8"/>
        <v>1887.9100335755998</v>
      </c>
      <c r="K56" s="68"/>
      <c r="L56" s="68"/>
      <c r="M56" s="68"/>
      <c r="N56" s="68"/>
      <c r="O56" s="69"/>
      <c r="P56" s="3"/>
      <c r="Q56" s="16"/>
    </row>
    <row r="57" spans="1:17" s="87" customFormat="1" ht="24.75" customHeight="1">
      <c r="A57" s="4"/>
      <c r="B57" s="52" t="s">
        <v>107</v>
      </c>
      <c r="C57" s="7" t="s">
        <v>108</v>
      </c>
      <c r="D57" s="1"/>
      <c r="E57" s="53"/>
      <c r="F57" s="90">
        <v>94.5</v>
      </c>
      <c r="G57" s="10">
        <v>0</v>
      </c>
      <c r="H57" s="10">
        <f>(F57-G57/7.05)*7.05*1.042*0.6</f>
        <v>416.52386999999999</v>
      </c>
      <c r="I57" s="10">
        <f t="shared" si="7"/>
        <v>291.70850435999989</v>
      </c>
      <c r="J57" s="10">
        <f t="shared" si="8"/>
        <v>708.23237435999988</v>
      </c>
      <c r="K57" s="68"/>
      <c r="L57" s="68"/>
      <c r="M57" s="68"/>
      <c r="N57" s="68"/>
      <c r="O57" s="69"/>
      <c r="P57" s="3"/>
      <c r="Q57" s="16"/>
    </row>
    <row r="58" spans="1:17" s="87" customFormat="1" ht="24.75" customHeight="1">
      <c r="A58" s="4"/>
      <c r="B58" s="52" t="s">
        <v>109</v>
      </c>
      <c r="C58" s="7" t="s">
        <v>110</v>
      </c>
      <c r="D58" s="1"/>
      <c r="E58" s="53"/>
      <c r="F58" s="90">
        <v>31.86</v>
      </c>
      <c r="G58" s="10">
        <v>0</v>
      </c>
      <c r="H58" s="10">
        <f t="shared" si="12"/>
        <v>0</v>
      </c>
      <c r="I58" s="10">
        <f t="shared" si="7"/>
        <v>245.868596532</v>
      </c>
      <c r="J58" s="10">
        <f t="shared" si="8"/>
        <v>245.868596532</v>
      </c>
      <c r="K58" s="68"/>
      <c r="L58" s="68"/>
      <c r="M58" s="68"/>
      <c r="N58" s="68"/>
      <c r="O58" s="69"/>
      <c r="P58" s="3"/>
      <c r="Q58" s="16"/>
    </row>
    <row r="59" spans="1:17" s="87" customFormat="1" ht="24.75" customHeight="1">
      <c r="A59" s="4"/>
      <c r="B59" s="52" t="s">
        <v>111</v>
      </c>
      <c r="C59" s="7" t="s">
        <v>112</v>
      </c>
      <c r="D59" s="1"/>
      <c r="E59" s="53"/>
      <c r="F59" s="91">
        <v>7.39</v>
      </c>
      <c r="G59" s="10">
        <v>0</v>
      </c>
      <c r="H59" s="10">
        <f>(F59-G59/7.05)*7.05*1.042*0.3</f>
        <v>16.286303700000001</v>
      </c>
      <c r="I59" s="10">
        <f t="shared" si="7"/>
        <v>39.920849022599988</v>
      </c>
      <c r="J59" s="10">
        <f t="shared" si="8"/>
        <v>56.207152722599986</v>
      </c>
      <c r="K59" s="68"/>
      <c r="L59" s="68"/>
      <c r="M59" s="68"/>
      <c r="N59" s="68"/>
      <c r="O59" s="69"/>
      <c r="P59" s="3"/>
      <c r="Q59" s="16"/>
    </row>
    <row r="60" spans="1:17" s="87" customFormat="1" ht="47.25">
      <c r="A60" s="4"/>
      <c r="B60" s="52" t="s">
        <v>113</v>
      </c>
      <c r="C60" s="14" t="s">
        <v>114</v>
      </c>
      <c r="D60" s="1"/>
      <c r="E60" s="53"/>
      <c r="F60" s="88">
        <v>15.31</v>
      </c>
      <c r="G60" s="10">
        <v>0</v>
      </c>
      <c r="H60" s="10">
        <f>(F60-G60/7.05)*7.05*1.042*0.3</f>
        <v>33.740637300000003</v>
      </c>
      <c r="I60" s="10">
        <f t="shared" si="7"/>
        <v>82.704762995399975</v>
      </c>
      <c r="J60" s="10">
        <f t="shared" si="8"/>
        <v>116.44540029539998</v>
      </c>
      <c r="K60" s="68"/>
      <c r="L60" s="68"/>
      <c r="M60" s="68"/>
      <c r="N60" s="68"/>
      <c r="O60" s="69"/>
      <c r="P60" s="3"/>
      <c r="Q60" s="16"/>
    </row>
    <row r="61" spans="1:17" s="86" customFormat="1" ht="24.75" customHeight="1">
      <c r="A61" s="20"/>
      <c r="B61" s="54"/>
      <c r="C61" s="75" t="s">
        <v>65</v>
      </c>
      <c r="D61" s="22"/>
      <c r="E61" s="85"/>
      <c r="F61" s="24">
        <f>SUM(F62:F72)</f>
        <v>4969.7700000000004</v>
      </c>
      <c r="G61" s="24">
        <f t="shared" ref="G61:I61" si="13">SUM(G62:G72)</f>
        <v>0</v>
      </c>
      <c r="H61" s="24">
        <f t="shared" si="13"/>
        <v>7876.9879547999999</v>
      </c>
      <c r="I61" s="24">
        <f t="shared" si="13"/>
        <v>30077.631723812403</v>
      </c>
      <c r="J61" s="24">
        <f>SUM(J62:J72)</f>
        <v>37954.619678612398</v>
      </c>
      <c r="K61" s="66">
        <f>SUM(G61:I61)</f>
        <v>37954.619678612406</v>
      </c>
      <c r="L61" s="67"/>
      <c r="M61" s="67"/>
      <c r="N61" s="67"/>
      <c r="O61" s="66"/>
      <c r="P61" s="25"/>
      <c r="Q61" s="26"/>
    </row>
    <row r="62" spans="1:17" s="87" customFormat="1" ht="24.75" customHeight="1">
      <c r="A62" s="4"/>
      <c r="B62" s="52" t="s">
        <v>115</v>
      </c>
      <c r="C62" s="7" t="s">
        <v>94</v>
      </c>
      <c r="D62" s="1"/>
      <c r="E62" s="53"/>
      <c r="F62" s="88">
        <v>1207.19</v>
      </c>
      <c r="G62" s="10">
        <v>0</v>
      </c>
      <c r="H62" s="10">
        <f>(F62-G62/7.05)*7.05*1.042*0.6</f>
        <v>5320.883075400001</v>
      </c>
      <c r="I62" s="10">
        <f t="shared" si="7"/>
        <v>3726.4295172311995</v>
      </c>
      <c r="J62" s="10">
        <f t="shared" si="8"/>
        <v>9047.3125926312005</v>
      </c>
      <c r="K62" s="68"/>
      <c r="L62" s="68"/>
      <c r="M62" s="68"/>
      <c r="N62" s="68"/>
      <c r="O62" s="69"/>
      <c r="P62" s="3"/>
      <c r="Q62" s="16"/>
    </row>
    <row r="63" spans="1:17" s="87" customFormat="1" ht="24.75" customHeight="1">
      <c r="A63" s="4"/>
      <c r="B63" s="52" t="s">
        <v>116</v>
      </c>
      <c r="C63" s="7" t="s">
        <v>96</v>
      </c>
      <c r="D63" s="1"/>
      <c r="E63" s="53"/>
      <c r="F63" s="88">
        <v>576.14</v>
      </c>
      <c r="G63" s="10">
        <v>0</v>
      </c>
      <c r="H63" s="10">
        <f t="shared" ref="H63" si="14">(F63-G63/7.05)*7.05*1.042*0.3</f>
        <v>1269.7146161999999</v>
      </c>
      <c r="I63" s="10">
        <f t="shared" si="7"/>
        <v>3112.3136611475993</v>
      </c>
      <c r="J63" s="10">
        <f t="shared" si="8"/>
        <v>4382.0282773475992</v>
      </c>
      <c r="K63" s="68"/>
      <c r="L63" s="68"/>
      <c r="M63" s="68"/>
      <c r="N63" s="68"/>
      <c r="O63" s="69"/>
      <c r="P63" s="3"/>
      <c r="Q63" s="16"/>
    </row>
    <row r="64" spans="1:17" s="87" customFormat="1" ht="24.75" customHeight="1">
      <c r="A64" s="4"/>
      <c r="B64" s="52" t="s">
        <v>117</v>
      </c>
      <c r="C64" s="7" t="s">
        <v>98</v>
      </c>
      <c r="D64" s="1"/>
      <c r="E64" s="53"/>
      <c r="F64" s="89">
        <v>33.479999999999997</v>
      </c>
      <c r="G64" s="10">
        <v>0</v>
      </c>
      <c r="H64" s="10">
        <f>(F64-G64/7.05)*7.05*1.042*0.5</f>
        <v>122.97371399999999</v>
      </c>
      <c r="I64" s="10">
        <f t="shared" si="7"/>
        <v>129.18519478799999</v>
      </c>
      <c r="J64" s="10">
        <f t="shared" si="8"/>
        <v>252.15890878799996</v>
      </c>
      <c r="K64" s="68"/>
      <c r="L64" s="68"/>
      <c r="M64" s="68"/>
      <c r="N64" s="68"/>
      <c r="O64" s="69"/>
      <c r="P64" s="3"/>
      <c r="Q64" s="16"/>
    </row>
    <row r="65" spans="1:17" s="87" customFormat="1" ht="24.75" customHeight="1">
      <c r="A65" s="4"/>
      <c r="B65" s="52" t="s">
        <v>118</v>
      </c>
      <c r="C65" s="7" t="s">
        <v>100</v>
      </c>
      <c r="D65" s="1"/>
      <c r="E65" s="53"/>
      <c r="F65" s="89">
        <v>1973.75</v>
      </c>
      <c r="G65" s="10">
        <v>0</v>
      </c>
      <c r="H65" s="10">
        <f>(F65-G65/7.05)*7.05*1.042*0</f>
        <v>0</v>
      </c>
      <c r="I65" s="10">
        <f t="shared" si="7"/>
        <v>15231.737049749998</v>
      </c>
      <c r="J65" s="10">
        <f t="shared" si="8"/>
        <v>15231.737049749998</v>
      </c>
      <c r="K65" s="68"/>
      <c r="L65" s="68"/>
      <c r="M65" s="68"/>
      <c r="N65" s="68"/>
      <c r="O65" s="69"/>
      <c r="P65" s="3"/>
      <c r="Q65" s="16"/>
    </row>
    <row r="66" spans="1:17" s="87" customFormat="1" ht="31.5">
      <c r="A66" s="4"/>
      <c r="B66" s="52" t="s">
        <v>119</v>
      </c>
      <c r="C66" s="14" t="s">
        <v>102</v>
      </c>
      <c r="D66" s="1"/>
      <c r="E66" s="53"/>
      <c r="F66" s="89">
        <v>112.21</v>
      </c>
      <c r="G66" s="10">
        <v>0</v>
      </c>
      <c r="H66" s="10">
        <f t="shared" ref="H66" si="15">(F66-G66/7.05)*7.05*1.042*0</f>
        <v>0</v>
      </c>
      <c r="I66" s="10">
        <f t="shared" si="7"/>
        <v>865.9420972019999</v>
      </c>
      <c r="J66" s="10">
        <f t="shared" si="8"/>
        <v>865.9420972019999</v>
      </c>
      <c r="K66" s="68"/>
      <c r="L66" s="68"/>
      <c r="M66" s="68"/>
      <c r="N66" s="68"/>
      <c r="O66" s="69"/>
      <c r="P66" s="3"/>
      <c r="Q66" s="16"/>
    </row>
    <row r="67" spans="1:17" s="87" customFormat="1" ht="24.75" customHeight="1">
      <c r="A67" s="4"/>
      <c r="B67" s="52" t="s">
        <v>120</v>
      </c>
      <c r="C67" s="7" t="s">
        <v>104</v>
      </c>
      <c r="D67" s="1"/>
      <c r="E67" s="53"/>
      <c r="F67" s="90">
        <v>312.94</v>
      </c>
      <c r="G67" s="10">
        <v>0</v>
      </c>
      <c r="H67" s="10">
        <f>(F67-G67/7.05)*7.05*1.042*0.1</f>
        <v>229.88885340000002</v>
      </c>
      <c r="I67" s="10">
        <f t="shared" si="7"/>
        <v>2173.5061751051999</v>
      </c>
      <c r="J67" s="10">
        <f t="shared" si="8"/>
        <v>2403.3950285051997</v>
      </c>
      <c r="K67" s="68"/>
      <c r="L67" s="68"/>
      <c r="M67" s="68"/>
      <c r="N67" s="68"/>
      <c r="O67" s="69"/>
      <c r="P67" s="3"/>
      <c r="Q67" s="16"/>
    </row>
    <row r="68" spans="1:17" s="87" customFormat="1" ht="24.75" customHeight="1">
      <c r="A68" s="4"/>
      <c r="B68" s="52" t="s">
        <v>121</v>
      </c>
      <c r="C68" s="7" t="s">
        <v>108</v>
      </c>
      <c r="D68" s="1"/>
      <c r="E68" s="53"/>
      <c r="F68" s="90">
        <v>100.96</v>
      </c>
      <c r="G68" s="10">
        <v>0</v>
      </c>
      <c r="H68" s="10">
        <f>(F68-G68/7.05)*7.05*1.042*0.6</f>
        <v>444.99735359999994</v>
      </c>
      <c r="I68" s="10">
        <f t="shared" si="7"/>
        <v>311.64963598079999</v>
      </c>
      <c r="J68" s="10">
        <f t="shared" si="8"/>
        <v>756.64698958079998</v>
      </c>
      <c r="K68" s="68"/>
      <c r="L68" s="68"/>
      <c r="M68" s="68"/>
      <c r="N68" s="68"/>
      <c r="O68" s="69"/>
      <c r="P68" s="3"/>
      <c r="Q68" s="16"/>
    </row>
    <row r="69" spans="1:17" s="87" customFormat="1" ht="24.75" customHeight="1">
      <c r="A69" s="4"/>
      <c r="B69" s="52" t="s">
        <v>122</v>
      </c>
      <c r="C69" s="7" t="s">
        <v>110</v>
      </c>
      <c r="D69" s="1"/>
      <c r="E69" s="53"/>
      <c r="F69" s="90">
        <v>39.06</v>
      </c>
      <c r="G69" s="10">
        <v>0</v>
      </c>
      <c r="H69" s="10">
        <f>(F69-G69/7.05)*7.05*1.042*0</f>
        <v>0</v>
      </c>
      <c r="I69" s="10">
        <f t="shared" si="7"/>
        <v>301.43212117199994</v>
      </c>
      <c r="J69" s="10">
        <f t="shared" si="8"/>
        <v>301.43212117199994</v>
      </c>
      <c r="K69" s="68"/>
      <c r="L69" s="68"/>
      <c r="M69" s="68"/>
      <c r="N69" s="68"/>
      <c r="O69" s="69"/>
      <c r="P69" s="3"/>
      <c r="Q69" s="16"/>
    </row>
    <row r="70" spans="1:17" s="87" customFormat="1" ht="24.75" customHeight="1">
      <c r="A70" s="4"/>
      <c r="B70" s="52" t="s">
        <v>123</v>
      </c>
      <c r="C70" s="7" t="s">
        <v>106</v>
      </c>
      <c r="D70" s="1"/>
      <c r="E70" s="53"/>
      <c r="F70" s="90">
        <v>588.54999999999995</v>
      </c>
      <c r="G70" s="10">
        <v>0</v>
      </c>
      <c r="H70" s="10">
        <f>(F70-G70/7.05)*7.05*1.042*0.1</f>
        <v>432.35471549999994</v>
      </c>
      <c r="I70" s="10">
        <f t="shared" si="7"/>
        <v>4087.7390533589987</v>
      </c>
      <c r="J70" s="10">
        <f t="shared" si="8"/>
        <v>4520.0937688589984</v>
      </c>
      <c r="K70" s="68"/>
      <c r="L70" s="68"/>
      <c r="M70" s="68"/>
      <c r="N70" s="68"/>
      <c r="O70" s="69"/>
      <c r="P70" s="3"/>
      <c r="Q70" s="16"/>
    </row>
    <row r="71" spans="1:17" s="87" customFormat="1" ht="24.75" customHeight="1">
      <c r="A71" s="4"/>
      <c r="B71" s="52" t="s">
        <v>124</v>
      </c>
      <c r="C71" s="7" t="s">
        <v>125</v>
      </c>
      <c r="D71" s="1"/>
      <c r="E71" s="53"/>
      <c r="F71" s="91">
        <v>11.34</v>
      </c>
      <c r="G71" s="10">
        <v>0</v>
      </c>
      <c r="H71" s="10">
        <f>(F71-G71/7.05)*7.05*1.042*0.3</f>
        <v>24.991432200000002</v>
      </c>
      <c r="I71" s="10">
        <f t="shared" si="7"/>
        <v>61.258785915599987</v>
      </c>
      <c r="J71" s="10">
        <f t="shared" si="8"/>
        <v>86.250218115599992</v>
      </c>
      <c r="K71" s="68"/>
      <c r="L71" s="68"/>
      <c r="M71" s="68"/>
      <c r="N71" s="68"/>
      <c r="O71" s="69"/>
      <c r="P71" s="3"/>
      <c r="Q71" s="16"/>
    </row>
    <row r="72" spans="1:17" s="87" customFormat="1" ht="47.25">
      <c r="A72" s="4"/>
      <c r="B72" s="52" t="s">
        <v>126</v>
      </c>
      <c r="C72" s="14" t="s">
        <v>114</v>
      </c>
      <c r="D72" s="1"/>
      <c r="E72" s="53"/>
      <c r="F72" s="88">
        <v>14.15</v>
      </c>
      <c r="G72" s="10">
        <v>0</v>
      </c>
      <c r="H72" s="10">
        <f>(F72-G72/7.05)*7.05*1.042*0.3</f>
        <v>31.1841945</v>
      </c>
      <c r="I72" s="10">
        <f t="shared" si="7"/>
        <v>76.438432160999994</v>
      </c>
      <c r="J72" s="10">
        <f t="shared" si="8"/>
        <v>107.622626661</v>
      </c>
      <c r="K72" s="68"/>
      <c r="L72" s="68"/>
      <c r="M72" s="68"/>
      <c r="N72" s="68"/>
      <c r="O72" s="69"/>
      <c r="P72" s="3"/>
      <c r="Q72" s="16"/>
    </row>
    <row r="73" spans="1:17">
      <c r="A73" s="20"/>
      <c r="B73" s="54"/>
      <c r="C73" s="21" t="s">
        <v>15</v>
      </c>
      <c r="D73" s="22"/>
      <c r="E73" s="23"/>
      <c r="F73" s="24">
        <f>F34+F29</f>
        <v>72183.159596330224</v>
      </c>
      <c r="G73" s="24">
        <f t="shared" ref="G73:J73" si="16">G34+G29</f>
        <v>43933.934590378376</v>
      </c>
      <c r="H73" s="24">
        <f>H34+H29</f>
        <v>177167.36732765994</v>
      </c>
      <c r="I73" s="24">
        <f t="shared" si="16"/>
        <v>320989.96137285663</v>
      </c>
      <c r="J73" s="24">
        <f t="shared" si="16"/>
        <v>542091.26329089492</v>
      </c>
      <c r="K73" s="66">
        <f>SUM(G73:I73)</f>
        <v>542091.26329089492</v>
      </c>
      <c r="L73" s="67"/>
      <c r="M73" s="67"/>
      <c r="N73" s="68"/>
      <c r="O73" s="66"/>
      <c r="P73" s="25"/>
      <c r="Q73" s="26"/>
    </row>
    <row r="74" spans="1:17">
      <c r="A74" s="20"/>
      <c r="B74" s="54"/>
      <c r="C74" s="21" t="s">
        <v>62</v>
      </c>
      <c r="D74" s="22"/>
      <c r="E74" s="23"/>
      <c r="F74" s="24"/>
      <c r="G74" s="24"/>
      <c r="H74" s="24"/>
      <c r="I74" s="24"/>
      <c r="J74" s="24"/>
      <c r="K74" s="67"/>
      <c r="L74" s="25"/>
      <c r="M74" s="25"/>
      <c r="N74" s="26"/>
      <c r="O74" s="27"/>
      <c r="P74" s="25"/>
      <c r="Q74" s="26"/>
    </row>
    <row r="75" spans="1:17">
      <c r="A75" s="20"/>
      <c r="B75" s="54"/>
      <c r="C75" s="75" t="s">
        <v>64</v>
      </c>
      <c r="D75" s="22"/>
      <c r="E75" s="23"/>
      <c r="F75" s="24">
        <f>F35+F31</f>
        <v>60287.875596330217</v>
      </c>
      <c r="G75" s="24">
        <f t="shared" ref="G75:I75" si="17">G35+G31</f>
        <v>34952.707870378377</v>
      </c>
      <c r="H75" s="24">
        <f t="shared" si="17"/>
        <v>161307.23292695996</v>
      </c>
      <c r="I75" s="24">
        <f t="shared" si="17"/>
        <v>255763.99381805406</v>
      </c>
      <c r="J75" s="24">
        <f>J35+J31</f>
        <v>452023.9346153923</v>
      </c>
      <c r="K75" s="66">
        <f t="shared" ref="K75:K76" si="18">SUM(G75:I75)</f>
        <v>452023.93461539235</v>
      </c>
      <c r="L75" s="25"/>
      <c r="M75" s="25"/>
      <c r="N75" s="26"/>
      <c r="O75" s="27"/>
      <c r="P75" s="25"/>
      <c r="Q75" s="26"/>
    </row>
    <row r="76" spans="1:17">
      <c r="A76" s="20"/>
      <c r="B76" s="54"/>
      <c r="C76" s="75" t="s">
        <v>63</v>
      </c>
      <c r="D76" s="22"/>
      <c r="E76" s="23"/>
      <c r="F76" s="24">
        <f>F49+F32</f>
        <v>6326.6589999999997</v>
      </c>
      <c r="G76" s="24">
        <f>G49+G32</f>
        <v>4791.5441700000001</v>
      </c>
      <c r="H76" s="24">
        <f t="shared" ref="H76:I76" si="19">H49+H32</f>
        <v>7983.1464458999999</v>
      </c>
      <c r="I76" s="24">
        <f t="shared" si="19"/>
        <v>35148.335830990203</v>
      </c>
      <c r="J76" s="24">
        <f t="shared" ref="J76" si="20">J49+J32</f>
        <v>47923.030376890201</v>
      </c>
      <c r="K76" s="66">
        <f t="shared" si="18"/>
        <v>47923.026446890202</v>
      </c>
      <c r="L76" s="25"/>
      <c r="M76" s="25"/>
      <c r="N76" s="26"/>
      <c r="O76" s="27"/>
      <c r="P76" s="25"/>
      <c r="Q76" s="26"/>
    </row>
    <row r="77" spans="1:17" ht="15.75" customHeight="1">
      <c r="A77" s="20"/>
      <c r="B77" s="54"/>
      <c r="C77" s="75" t="s">
        <v>65</v>
      </c>
      <c r="D77" s="22"/>
      <c r="E77" s="23"/>
      <c r="F77" s="24">
        <f>F61+F33</f>
        <v>5568.625</v>
      </c>
      <c r="G77" s="24">
        <f>G61+G33</f>
        <v>4189.6825499999995</v>
      </c>
      <c r="H77" s="24">
        <f t="shared" ref="H77:I77" si="21">H61+H33</f>
        <v>7876.9879547999999</v>
      </c>
      <c r="I77" s="24">
        <f t="shared" si="21"/>
        <v>30077.631723812403</v>
      </c>
      <c r="J77" s="24">
        <f t="shared" ref="J77" si="22">J61+J33</f>
        <v>42144.302228612396</v>
      </c>
      <c r="K77" s="66">
        <f t="shared" ref="K77:K83" si="23">SUM(G77:I77)</f>
        <v>42144.302228612403</v>
      </c>
      <c r="L77" s="25"/>
      <c r="M77" s="25"/>
      <c r="N77" s="26"/>
      <c r="O77" s="27"/>
      <c r="P77" s="25"/>
      <c r="Q77" s="26"/>
    </row>
    <row r="78" spans="1:17" ht="15" customHeight="1">
      <c r="A78" s="20"/>
      <c r="B78" s="54"/>
      <c r="C78" s="33" t="s">
        <v>16</v>
      </c>
      <c r="D78" s="22"/>
      <c r="E78" s="23"/>
      <c r="F78" s="24"/>
      <c r="G78" s="24"/>
      <c r="H78" s="24"/>
      <c r="I78" s="24"/>
      <c r="J78" s="10"/>
      <c r="K78" s="67"/>
      <c r="L78" s="67"/>
      <c r="M78" s="67"/>
      <c r="N78" s="67"/>
      <c r="O78" s="66"/>
      <c r="P78" s="25"/>
      <c r="Q78" s="26"/>
    </row>
    <row r="79" spans="1:17" ht="31.5">
      <c r="A79" s="4">
        <v>17</v>
      </c>
      <c r="B79" s="96" t="s">
        <v>127</v>
      </c>
      <c r="C79" s="93" t="s">
        <v>131</v>
      </c>
      <c r="D79" s="1"/>
      <c r="E79" s="17"/>
      <c r="F79" s="9">
        <f>ROUND((F75-F15-F17-F18-F19)*4.1%*0.8,2)</f>
        <v>1938.9</v>
      </c>
      <c r="G79" s="9">
        <f>ROUND((G75-G15-G17-G18-G19)*4.1%*0.8,2)</f>
        <v>1022.26</v>
      </c>
      <c r="H79" s="9">
        <f t="shared" ref="H79" si="24">ROUND((H75-H15-H17-H18-H19)*4.1%*0.8,2)</f>
        <v>5290.88</v>
      </c>
      <c r="I79" s="9">
        <f>ROUND((I75-I15-I17-I18-I19)*4.1%*0.8,2)</f>
        <v>8286.9699999999993</v>
      </c>
      <c r="J79" s="9">
        <f>ROUND((J75-J15-J17-J18-J19)*4.1%*0.8,2)</f>
        <v>14600.11</v>
      </c>
      <c r="K79" s="66">
        <f t="shared" si="23"/>
        <v>14600.11</v>
      </c>
      <c r="L79" s="68"/>
      <c r="M79" s="68"/>
      <c r="N79" s="68"/>
      <c r="O79" s="69"/>
      <c r="Q79" s="16"/>
    </row>
    <row r="80" spans="1:17" ht="31.5">
      <c r="A80" s="4"/>
      <c r="B80" s="96" t="s">
        <v>128</v>
      </c>
      <c r="C80" s="93" t="s">
        <v>132</v>
      </c>
      <c r="D80" s="1"/>
      <c r="E80" s="17"/>
      <c r="F80" s="9">
        <f>(F77+F76-F16)*10.1%*0.8</f>
        <v>959.26002399999982</v>
      </c>
      <c r="G80" s="9">
        <f>(G77+G76-G16)*10.1%*0.8</f>
        <v>718.29895079999983</v>
      </c>
      <c r="H80" s="9">
        <f t="shared" ref="H80:J80" si="25">(H77+H76-H16)*10.1%*0.8</f>
        <v>1281.4988595765599</v>
      </c>
      <c r="I80" s="9">
        <f t="shared" si="25"/>
        <v>5270.258178428051</v>
      </c>
      <c r="J80" s="9">
        <f t="shared" si="25"/>
        <v>7270.0563063486106</v>
      </c>
      <c r="K80" s="66">
        <f t="shared" si="23"/>
        <v>7270.0559888046109</v>
      </c>
      <c r="L80" s="68"/>
      <c r="M80" s="68"/>
      <c r="N80" s="68"/>
      <c r="O80" s="69"/>
      <c r="Q80" s="16"/>
    </row>
    <row r="81" spans="1:17" ht="31.5">
      <c r="A81" s="4"/>
      <c r="B81" s="52" t="s">
        <v>134</v>
      </c>
      <c r="C81" s="94" t="s">
        <v>133</v>
      </c>
      <c r="D81" s="1"/>
      <c r="E81" s="17"/>
      <c r="F81" s="9">
        <v>1165.73</v>
      </c>
      <c r="G81" s="9">
        <f>F81*7.05</f>
        <v>8218.3965000000007</v>
      </c>
      <c r="H81" s="10">
        <f>(F81-G81/7.05)*7.05*1.042</f>
        <v>-1.670309757173527E-12</v>
      </c>
      <c r="I81" s="10">
        <v>0</v>
      </c>
      <c r="J81" s="10">
        <f t="shared" ref="J81:J83" si="26">G81+H81+I81</f>
        <v>8218.3964999999989</v>
      </c>
      <c r="K81" s="66">
        <f t="shared" si="23"/>
        <v>8218.3964999999989</v>
      </c>
      <c r="L81" s="68"/>
      <c r="M81" s="68"/>
      <c r="N81" s="68"/>
      <c r="O81" s="69"/>
      <c r="Q81" s="16"/>
    </row>
    <row r="82" spans="1:17" ht="25.5">
      <c r="A82" s="4"/>
      <c r="B82" s="97" t="s">
        <v>129</v>
      </c>
      <c r="C82" s="94" t="s">
        <v>135</v>
      </c>
      <c r="D82" s="1"/>
      <c r="E82" s="17"/>
      <c r="F82" s="95">
        <v>120.96</v>
      </c>
      <c r="G82" s="9">
        <f>F82*7.05</f>
        <v>852.76799999999992</v>
      </c>
      <c r="H82" s="10">
        <f>(F82-G82/7.05)*7.05*1.042</f>
        <v>0</v>
      </c>
      <c r="I82" s="10">
        <v>0</v>
      </c>
      <c r="J82" s="10">
        <f>G82+H82+I82</f>
        <v>852.76799999999992</v>
      </c>
      <c r="K82" s="66">
        <f t="shared" si="23"/>
        <v>852.76799999999992</v>
      </c>
      <c r="L82" s="68"/>
      <c r="M82" s="68"/>
      <c r="N82" s="68"/>
      <c r="O82" s="69"/>
      <c r="Q82" s="16"/>
    </row>
    <row r="83" spans="1:17" ht="25.5">
      <c r="A83" s="4"/>
      <c r="B83" s="97" t="s">
        <v>130</v>
      </c>
      <c r="C83" s="94" t="s">
        <v>136</v>
      </c>
      <c r="D83" s="1"/>
      <c r="E83" s="17"/>
      <c r="F83" s="95">
        <v>121.07</v>
      </c>
      <c r="G83" s="9">
        <f t="shared" ref="G83" si="27">F83*7.05</f>
        <v>853.54349999999988</v>
      </c>
      <c r="H83" s="10">
        <f>(F83-G83/7.05)*7.05*1.042</f>
        <v>0</v>
      </c>
      <c r="I83" s="10">
        <v>0</v>
      </c>
      <c r="J83" s="10">
        <f t="shared" si="26"/>
        <v>853.54349999999988</v>
      </c>
      <c r="K83" s="66">
        <f t="shared" si="23"/>
        <v>853.54349999999988</v>
      </c>
      <c r="L83" s="68"/>
      <c r="M83" s="68"/>
      <c r="N83" s="68"/>
      <c r="O83" s="69"/>
      <c r="Q83" s="16"/>
    </row>
    <row r="84" spans="1:17" ht="38.25" customHeight="1">
      <c r="A84" s="37"/>
      <c r="B84" s="54"/>
      <c r="C84" s="38" t="s">
        <v>17</v>
      </c>
      <c r="D84" s="22"/>
      <c r="E84" s="32"/>
      <c r="F84" s="24">
        <f>SUM(F79:F83)</f>
        <v>4305.9200239999991</v>
      </c>
      <c r="G84" s="24">
        <f>SUM(G79:G83)</f>
        <v>11665.2669508</v>
      </c>
      <c r="H84" s="24">
        <f>SUM(H79:H83)</f>
        <v>6572.3788595765582</v>
      </c>
      <c r="I84" s="24">
        <f t="shared" ref="I84" si="28">SUM(I79:I83)</f>
        <v>13557.228178428049</v>
      </c>
      <c r="J84" s="24">
        <f>SUM(J79:J83)</f>
        <v>31794.874306348611</v>
      </c>
      <c r="K84" s="66">
        <f>SUM(G84:I84)</f>
        <v>31794.873988804608</v>
      </c>
      <c r="L84" s="67"/>
      <c r="M84" s="67"/>
      <c r="N84" s="67"/>
      <c r="O84" s="66"/>
      <c r="P84" s="25"/>
      <c r="Q84" s="26"/>
    </row>
    <row r="85" spans="1:17">
      <c r="A85" s="37"/>
      <c r="B85" s="54"/>
      <c r="C85" s="21" t="s">
        <v>62</v>
      </c>
      <c r="D85" s="22"/>
      <c r="E85" s="32"/>
      <c r="F85" s="24"/>
      <c r="G85" s="24"/>
      <c r="H85" s="24"/>
      <c r="I85" s="24"/>
      <c r="J85" s="63"/>
      <c r="K85" s="67"/>
      <c r="L85" s="67"/>
      <c r="M85" s="67"/>
      <c r="N85" s="67"/>
      <c r="O85" s="66"/>
      <c r="P85" s="25"/>
      <c r="Q85" s="26"/>
    </row>
    <row r="86" spans="1:17">
      <c r="A86" s="37"/>
      <c r="B86" s="54"/>
      <c r="C86" s="75" t="s">
        <v>64</v>
      </c>
      <c r="D86" s="22"/>
      <c r="E86" s="32"/>
      <c r="F86" s="24">
        <f>F79+F81</f>
        <v>3104.63</v>
      </c>
      <c r="G86" s="24">
        <f>G79+G81</f>
        <v>9240.656500000001</v>
      </c>
      <c r="H86" s="24">
        <f t="shared" ref="H86:I86" si="29">H79+H81</f>
        <v>5290.8799999999983</v>
      </c>
      <c r="I86" s="24">
        <f t="shared" si="29"/>
        <v>8286.9699999999993</v>
      </c>
      <c r="J86" s="24">
        <f>J79+J81</f>
        <v>22818.5065</v>
      </c>
      <c r="K86" s="66">
        <f>SUM(G86:I86)</f>
        <v>22818.506499999996</v>
      </c>
      <c r="L86" s="67"/>
      <c r="M86" s="67"/>
      <c r="N86" s="67"/>
      <c r="O86" s="66"/>
      <c r="P86" s="25"/>
      <c r="Q86" s="26"/>
    </row>
    <row r="87" spans="1:17">
      <c r="A87" s="37"/>
      <c r="B87" s="54"/>
      <c r="C87" s="75" t="s">
        <v>63</v>
      </c>
      <c r="D87" s="22"/>
      <c r="E87" s="32"/>
      <c r="F87" s="24">
        <f>(F76-12.92)*10.1%*0.8+F82</f>
        <v>631.11011119999989</v>
      </c>
      <c r="G87" s="24">
        <f>(G76-12.92*3.93)*10.1%*0.8+G82</f>
        <v>1235.822100456</v>
      </c>
      <c r="H87" s="24">
        <f>(H76)*10.1%*0.8+H82</f>
        <v>645.03823282871997</v>
      </c>
      <c r="I87" s="24">
        <f>(I76)*10.1%*0.8+I82</f>
        <v>2839.9855351440083</v>
      </c>
      <c r="J87" s="24">
        <f>(J76-12.92*3.93)*10.1%*0.8+J82</f>
        <v>4720.8461859727277</v>
      </c>
      <c r="K87" s="66">
        <f>SUM(G87:I87)</f>
        <v>4720.8458684287289</v>
      </c>
      <c r="L87" s="67"/>
      <c r="M87" s="67"/>
      <c r="N87" s="67"/>
      <c r="O87" s="66"/>
      <c r="P87" s="25"/>
      <c r="Q87" s="26"/>
    </row>
    <row r="88" spans="1:17">
      <c r="A88" s="37"/>
      <c r="B88" s="54"/>
      <c r="C88" s="75" t="s">
        <v>65</v>
      </c>
      <c r="D88" s="22"/>
      <c r="E88" s="32"/>
      <c r="F88" s="24">
        <f>(F77-10.33)*10.1%*0.8+F83</f>
        <v>570.18023599999992</v>
      </c>
      <c r="G88" s="24">
        <f>(G77-10.33*3.93)*10.1%*0.8+G83</f>
        <v>1188.7896205199997</v>
      </c>
      <c r="H88" s="24">
        <f>(H77)*10.1%*0.8+H83</f>
        <v>636.46062674784002</v>
      </c>
      <c r="I88" s="24">
        <f>(I77)*10.1%*0.8+I83</f>
        <v>2430.2726432840423</v>
      </c>
      <c r="J88" s="24">
        <f>(J77-10.33*3.93)*10.1%*0.8+J83</f>
        <v>4255.5228905518816</v>
      </c>
      <c r="K88" s="66">
        <f t="shared" ref="K88:K93" si="30">SUM(G88:I88)</f>
        <v>4255.5228905518816</v>
      </c>
      <c r="L88" s="67"/>
      <c r="M88" s="67"/>
      <c r="N88" s="67"/>
      <c r="O88" s="66"/>
      <c r="P88" s="25"/>
      <c r="Q88" s="26"/>
    </row>
    <row r="89" spans="1:17" ht="31.5">
      <c r="A89" s="37"/>
      <c r="B89" s="54"/>
      <c r="C89" s="36" t="s">
        <v>18</v>
      </c>
      <c r="D89" s="22"/>
      <c r="E89" s="32"/>
      <c r="F89" s="12">
        <f>F84+F73</f>
        <v>76489.079620330216</v>
      </c>
      <c r="G89" s="12">
        <f>G84+G73</f>
        <v>55599.20154117838</v>
      </c>
      <c r="H89" s="12">
        <f>H84+H73</f>
        <v>183739.74618723651</v>
      </c>
      <c r="I89" s="12">
        <f t="shared" ref="I89" si="31">I84+I73</f>
        <v>334547.18955128465</v>
      </c>
      <c r="J89" s="12">
        <f>J84+J73</f>
        <v>573886.13759724353</v>
      </c>
      <c r="K89" s="66">
        <f t="shared" si="30"/>
        <v>573886.13727969956</v>
      </c>
      <c r="L89" s="67"/>
      <c r="M89" s="66">
        <f>J73+J84</f>
        <v>573886.13759724353</v>
      </c>
      <c r="N89" s="66">
        <f>J73+J84</f>
        <v>573886.13759724353</v>
      </c>
      <c r="O89" s="66"/>
      <c r="P89" s="25"/>
      <c r="Q89" s="26"/>
    </row>
    <row r="90" spans="1:17">
      <c r="A90" s="37"/>
      <c r="B90" s="54"/>
      <c r="C90" s="21" t="s">
        <v>62</v>
      </c>
      <c r="D90" s="22"/>
      <c r="E90" s="32"/>
      <c r="F90" s="12"/>
      <c r="G90" s="12"/>
      <c r="H90" s="12"/>
      <c r="I90" s="12"/>
      <c r="J90" s="65"/>
      <c r="K90" s="67"/>
      <c r="L90" s="67"/>
      <c r="M90" s="66"/>
      <c r="N90" s="66"/>
      <c r="O90" s="66"/>
      <c r="P90" s="25"/>
      <c r="Q90" s="26"/>
    </row>
    <row r="91" spans="1:17">
      <c r="A91" s="37"/>
      <c r="B91" s="54"/>
      <c r="C91" s="75" t="s">
        <v>64</v>
      </c>
      <c r="D91" s="22"/>
      <c r="E91" s="32"/>
      <c r="F91" s="24">
        <f>F86+F75</f>
        <v>63392.505596330215</v>
      </c>
      <c r="G91" s="24">
        <f>G86+G75</f>
        <v>44193.364370378375</v>
      </c>
      <c r="H91" s="24">
        <f t="shared" ref="H91:J91" si="32">H86+H75</f>
        <v>166598.11292695996</v>
      </c>
      <c r="I91" s="24">
        <f t="shared" ref="I91" si="33">I86+I75</f>
        <v>264050.96381805406</v>
      </c>
      <c r="J91" s="24">
        <f t="shared" si="32"/>
        <v>474842.44111539231</v>
      </c>
      <c r="K91" s="66">
        <f t="shared" si="30"/>
        <v>474842.44111539237</v>
      </c>
      <c r="L91" s="67"/>
      <c r="M91" s="66"/>
      <c r="N91" s="66"/>
      <c r="O91" s="66"/>
      <c r="P91" s="25"/>
      <c r="Q91" s="26"/>
    </row>
    <row r="92" spans="1:17">
      <c r="A92" s="37"/>
      <c r="B92" s="54"/>
      <c r="C92" s="75" t="s">
        <v>63</v>
      </c>
      <c r="D92" s="22"/>
      <c r="E92" s="32"/>
      <c r="F92" s="24">
        <f t="shared" ref="F92:G93" si="34">F87+F76</f>
        <v>6957.7691111999993</v>
      </c>
      <c r="G92" s="24">
        <f>G87+G76</f>
        <v>6027.3662704560002</v>
      </c>
      <c r="H92" s="24">
        <f>H87+H76</f>
        <v>8628.1846787287195</v>
      </c>
      <c r="I92" s="24">
        <f>I87+I76</f>
        <v>37988.321366134209</v>
      </c>
      <c r="J92" s="24">
        <f>SUM(G92:I92)</f>
        <v>52643.872315318928</v>
      </c>
      <c r="K92" s="66">
        <f>SUM(G92:I92)</f>
        <v>52643.872315318928</v>
      </c>
      <c r="L92" s="67"/>
      <c r="M92" s="66"/>
      <c r="N92" s="66"/>
      <c r="O92" s="66"/>
      <c r="P92" s="25"/>
      <c r="Q92" s="26"/>
    </row>
    <row r="93" spans="1:17">
      <c r="A93" s="37"/>
      <c r="B93" s="54"/>
      <c r="C93" s="75" t="s">
        <v>65</v>
      </c>
      <c r="D93" s="22"/>
      <c r="E93" s="32"/>
      <c r="F93" s="24">
        <f t="shared" si="34"/>
        <v>6138.8052360000001</v>
      </c>
      <c r="G93" s="24">
        <f t="shared" si="34"/>
        <v>5378.4721705199991</v>
      </c>
      <c r="H93" s="24">
        <f t="shared" ref="H93:I93" si="35">H88+H77</f>
        <v>8513.4485815478401</v>
      </c>
      <c r="I93" s="24">
        <f t="shared" si="35"/>
        <v>32507.904367096446</v>
      </c>
      <c r="J93" s="24">
        <f t="shared" ref="J93" si="36">J88+J77</f>
        <v>46399.825119164278</v>
      </c>
      <c r="K93" s="66">
        <f t="shared" si="30"/>
        <v>46399.825119164285</v>
      </c>
      <c r="L93" s="67"/>
      <c r="M93" s="66"/>
      <c r="N93" s="66"/>
      <c r="O93" s="66"/>
      <c r="P93" s="25"/>
      <c r="Q93" s="26"/>
    </row>
    <row r="94" spans="1:17" ht="24" customHeight="1">
      <c r="A94" s="37"/>
      <c r="B94" s="54"/>
      <c r="C94" s="31" t="s">
        <v>19</v>
      </c>
      <c r="D94" s="22"/>
      <c r="E94" s="32"/>
      <c r="F94" s="24"/>
      <c r="G94" s="24"/>
      <c r="H94" s="24"/>
      <c r="I94" s="24"/>
      <c r="J94" s="10"/>
      <c r="K94" s="67"/>
      <c r="L94" s="67"/>
      <c r="M94" s="67"/>
      <c r="N94" s="67"/>
      <c r="O94" s="66"/>
      <c r="P94" s="25"/>
      <c r="Q94" s="26"/>
    </row>
    <row r="95" spans="1:17" ht="54">
      <c r="A95" s="4">
        <v>19</v>
      </c>
      <c r="B95" s="62" t="s">
        <v>139</v>
      </c>
      <c r="C95" s="19" t="s">
        <v>23</v>
      </c>
      <c r="D95" s="1"/>
      <c r="E95" s="17"/>
      <c r="F95" s="9">
        <f>F96+F97</f>
        <v>3302.2255888175996</v>
      </c>
      <c r="G95" s="9">
        <f>G96+G97</f>
        <v>2379.0214753276432</v>
      </c>
      <c r="H95" s="9">
        <f>H96+H97</f>
        <v>7359.5242962456623</v>
      </c>
      <c r="I95" s="9">
        <f>I96+I97</f>
        <v>15149.802560899865</v>
      </c>
      <c r="J95" s="9">
        <f>J96+J97</f>
        <v>24888.348332473171</v>
      </c>
      <c r="K95" s="66">
        <f>SUM(G95:I95)</f>
        <v>24888.348332473171</v>
      </c>
      <c r="L95" s="68"/>
      <c r="M95" s="68"/>
      <c r="N95" s="68"/>
      <c r="O95" s="69"/>
      <c r="Q95" s="16"/>
    </row>
    <row r="96" spans="1:17">
      <c r="A96" s="4"/>
      <c r="B96" s="62"/>
      <c r="C96" s="98" t="s">
        <v>140</v>
      </c>
      <c r="D96" s="109">
        <f>G96/F96</f>
        <v>0.64945024084479797</v>
      </c>
      <c r="E96" s="110"/>
      <c r="F96" s="9">
        <v>2217.14</v>
      </c>
      <c r="G96" s="9">
        <f>(G91-G15-G17-G18-G19)*0.03563527</f>
        <v>1439.9221069866353</v>
      </c>
      <c r="H96" s="9">
        <f t="shared" ref="H96" si="37">(H91-H15-H17-H18-H19)*0.03563527</f>
        <v>5936.7687356427077</v>
      </c>
      <c r="I96" s="9">
        <f t="shared" ref="I96:J96" si="38">(I91-I15-I17-I18-I19)*0.03563527</f>
        <v>9298.6158250417211</v>
      </c>
      <c r="J96" s="9">
        <f t="shared" si="38"/>
        <v>16675.306667671062</v>
      </c>
      <c r="K96" s="127">
        <f>(F91-F15-F17-F18-F19)</f>
        <v>62217.579999999987</v>
      </c>
      <c r="L96" s="110">
        <f>2217.14/K96</f>
        <v>3.5635265788222563E-2</v>
      </c>
      <c r="M96" s="68"/>
      <c r="N96" s="68"/>
      <c r="O96" s="69"/>
      <c r="Q96" s="16"/>
    </row>
    <row r="97" spans="1:17">
      <c r="A97" s="4"/>
      <c r="B97" s="62"/>
      <c r="C97" s="98" t="s">
        <v>150</v>
      </c>
      <c r="D97" s="99">
        <f>D96*3.563527%</f>
        <v>2.3143334684069407E-2</v>
      </c>
      <c r="E97" s="17"/>
      <c r="F97" s="9">
        <f>(F93+F92-F16)*8.3%</f>
        <v>1085.0855888176</v>
      </c>
      <c r="G97" s="9">
        <f>(G93+G92-G16)*8.3%</f>
        <v>939.09936834100802</v>
      </c>
      <c r="H97" s="9">
        <f>(H93+H92-H16)*8.3%</f>
        <v>1422.7555606029546</v>
      </c>
      <c r="I97" s="9">
        <f>(I93+I92-I16)*8.3%</f>
        <v>5851.1867358581439</v>
      </c>
      <c r="J97" s="9">
        <f>(J93+J92-J16)*8.3%</f>
        <v>8213.0416648021073</v>
      </c>
      <c r="K97" s="128">
        <f>K96*3.563527%</f>
        <v>2217.1402620465997</v>
      </c>
      <c r="L97" s="17"/>
      <c r="M97" s="120">
        <f>SUM(G97:I97)</f>
        <v>8213.0416648021055</v>
      </c>
      <c r="N97" s="68"/>
      <c r="O97" s="69"/>
      <c r="Q97" s="16"/>
    </row>
    <row r="98" spans="1:17">
      <c r="A98" s="4"/>
      <c r="B98" s="106"/>
      <c r="C98" s="107" t="s">
        <v>63</v>
      </c>
      <c r="D98" s="99"/>
      <c r="E98" s="17"/>
      <c r="F98" s="9">
        <f>(F92-12.92)*8.3%</f>
        <v>576.42247622959997</v>
      </c>
      <c r="G98" s="9">
        <f>(G92-12.92*3.93)*8.3%</f>
        <v>496.05702564784804</v>
      </c>
      <c r="H98" s="9">
        <f>(H92)*8.3%</f>
        <v>716.13932833448371</v>
      </c>
      <c r="I98" s="9">
        <f>(I92)*8.3%</f>
        <v>3153.0306733891393</v>
      </c>
      <c r="J98" s="9">
        <f>(J92-12.92*3.93)*8.3%</f>
        <v>4365.2270273714712</v>
      </c>
      <c r="K98" s="66">
        <f>SUM(G98:I98)</f>
        <v>4365.2270273714712</v>
      </c>
      <c r="L98" s="68"/>
      <c r="M98" s="68"/>
      <c r="N98" s="68"/>
      <c r="O98" s="69"/>
      <c r="Q98" s="16"/>
    </row>
    <row r="99" spans="1:17">
      <c r="A99" s="4"/>
      <c r="B99" s="106"/>
      <c r="C99" s="107" t="s">
        <v>65</v>
      </c>
      <c r="D99" s="99"/>
      <c r="E99" s="17"/>
      <c r="F99" s="9">
        <f>(F93-10.33)*8.3%</f>
        <v>508.66344458800006</v>
      </c>
      <c r="G99" s="9">
        <f>(G93-10.33*3.93)*8.3%</f>
        <v>443.04364745315991</v>
      </c>
      <c r="H99" s="9">
        <f>(H93)*8.3%</f>
        <v>706.61623226847075</v>
      </c>
      <c r="I99" s="9">
        <f>(I93)*8.3%</f>
        <v>2698.1560624690051</v>
      </c>
      <c r="J99" s="9">
        <f>(J93-10.33*3.93)*8.3%</f>
        <v>3847.8159421906357</v>
      </c>
      <c r="K99" s="66">
        <f>SUM(G99:I99)</f>
        <v>3847.8159421906357</v>
      </c>
      <c r="L99" s="68"/>
      <c r="M99" s="68"/>
      <c r="N99" s="68"/>
      <c r="O99" s="69"/>
      <c r="Q99" s="16"/>
    </row>
    <row r="100" spans="1:17" ht="31.5">
      <c r="A100" s="4"/>
      <c r="B100" s="102" t="s">
        <v>142</v>
      </c>
      <c r="C100" s="100" t="s">
        <v>144</v>
      </c>
      <c r="D100" s="99"/>
      <c r="E100" s="17"/>
      <c r="F100" s="9">
        <f>F101+F102</f>
        <v>301.16360138879998</v>
      </c>
      <c r="G100" s="9">
        <f>G101+G102</f>
        <v>206.88667104390396</v>
      </c>
      <c r="H100" s="9">
        <f t="shared" ref="H100:J100" si="39">H101+H102</f>
        <v>734.95898474894614</v>
      </c>
      <c r="I100" s="9">
        <f t="shared" si="39"/>
        <v>1325.7391189152031</v>
      </c>
      <c r="J100" s="9">
        <f t="shared" si="39"/>
        <v>2267.5847747080529</v>
      </c>
      <c r="K100" s="66">
        <f t="shared" ref="K100:K103" si="40">SUM(G100:I100)</f>
        <v>2267.5847747080534</v>
      </c>
      <c r="L100" s="68"/>
      <c r="M100" s="68"/>
      <c r="N100" s="68"/>
      <c r="O100" s="69"/>
      <c r="Q100" s="16"/>
    </row>
    <row r="101" spans="1:17">
      <c r="A101" s="4"/>
      <c r="B101" s="101"/>
      <c r="C101" s="98" t="s">
        <v>140</v>
      </c>
      <c r="D101" s="99"/>
      <c r="E101" s="17"/>
      <c r="F101" s="9">
        <f>(F91-F15-F17-F18-F19)*0.4%</f>
        <v>248.87031999999996</v>
      </c>
      <c r="G101" s="9">
        <f>(G91-G15-G17-G18-G19)*0.4%</f>
        <v>161.62887015999996</v>
      </c>
      <c r="H101" s="9">
        <f t="shared" ref="H101:I101" si="41">(H91-H15-H17-H18-H19)*0.4%</f>
        <v>666.39245170783988</v>
      </c>
      <c r="I101" s="9">
        <f t="shared" si="41"/>
        <v>1043.7542159822806</v>
      </c>
      <c r="J101" s="9">
        <f t="shared" ref="J101" si="42">(J91-J15-J17-J18-J19)*0.4%</f>
        <v>1871.7755378501201</v>
      </c>
      <c r="K101" s="66">
        <f t="shared" si="40"/>
        <v>1871.7755378501204</v>
      </c>
      <c r="L101" s="68"/>
      <c r="M101" s="68"/>
      <c r="N101" s="68"/>
      <c r="O101" s="69"/>
      <c r="Q101" s="16"/>
    </row>
    <row r="102" spans="1:17">
      <c r="A102" s="4"/>
      <c r="B102" s="101"/>
      <c r="C102" s="98" t="s">
        <v>141</v>
      </c>
      <c r="D102" s="99"/>
      <c r="E102" s="17"/>
      <c r="F102" s="9">
        <f>(F92+F93-F16)*0.4%</f>
        <v>52.293281388799997</v>
      </c>
      <c r="G102" s="9">
        <f>(G92+G93-G16)*0.4%</f>
        <v>45.257800883903997</v>
      </c>
      <c r="H102" s="9">
        <f>(H92+H93-H16)*0.4%</f>
        <v>68.566533041106254</v>
      </c>
      <c r="I102" s="9">
        <f t="shared" ref="I102" si="43">(I92+I93-I16)*0.4%</f>
        <v>281.98490293292258</v>
      </c>
      <c r="J102" s="9">
        <f t="shared" ref="J102" si="44">(J92+J93-J16)*0.4%</f>
        <v>395.80923685793289</v>
      </c>
      <c r="K102" s="66">
        <f t="shared" si="40"/>
        <v>395.80923685793283</v>
      </c>
      <c r="L102" s="68"/>
      <c r="M102" s="68"/>
      <c r="N102" s="68"/>
      <c r="O102" s="69"/>
      <c r="Q102" s="16"/>
    </row>
    <row r="103" spans="1:17" s="84" customFormat="1">
      <c r="A103" s="76"/>
      <c r="B103" s="114"/>
      <c r="C103" s="107" t="s">
        <v>63</v>
      </c>
      <c r="D103" s="115"/>
      <c r="E103" s="116"/>
      <c r="F103" s="117">
        <f>(F92-10.33)*0.4%</f>
        <v>27.789756444799998</v>
      </c>
      <c r="G103" s="117">
        <f>ROUND((G92-12.92*3.93)*0.4%,2)</f>
        <v>23.91</v>
      </c>
      <c r="H103" s="117">
        <f>((H92)*0.4%)-0.01</f>
        <v>34.502738714914884</v>
      </c>
      <c r="I103" s="117">
        <f>((I92)*0.4%)</f>
        <v>151.95328546453683</v>
      </c>
      <c r="J103" s="117">
        <f>((J92-12.92*3.93)*0.4%)</f>
        <v>210.37238686127571</v>
      </c>
      <c r="K103" s="66">
        <f t="shared" si="40"/>
        <v>210.3660241794517</v>
      </c>
      <c r="L103" s="81"/>
      <c r="M103" s="81"/>
      <c r="N103" s="81"/>
      <c r="O103" s="82"/>
      <c r="P103" s="80"/>
      <c r="Q103" s="83"/>
    </row>
    <row r="104" spans="1:17" s="84" customFormat="1">
      <c r="A104" s="76"/>
      <c r="B104" s="114"/>
      <c r="C104" s="107" t="s">
        <v>65</v>
      </c>
      <c r="D104" s="115"/>
      <c r="E104" s="116"/>
      <c r="F104" s="117">
        <f>(F93-12.92)*0.4%</f>
        <v>24.503540944000001</v>
      </c>
      <c r="G104" s="119">
        <f>(G93-10.33*3.93)*0.4%+0.01</f>
        <v>21.361501082079997</v>
      </c>
      <c r="H104" s="117">
        <f>(H93)*0.4%</f>
        <v>34.053794326191358</v>
      </c>
      <c r="I104" s="117">
        <f>(I93)*0.4%</f>
        <v>130.03161746838578</v>
      </c>
      <c r="J104" s="117">
        <f>(J93-10.33*3.93)*0.4%</f>
        <v>185.43691287665712</v>
      </c>
      <c r="K104" s="66">
        <f>SUM(G104:I104)</f>
        <v>185.44691287665714</v>
      </c>
      <c r="L104" s="81"/>
      <c r="M104" s="81"/>
      <c r="N104" s="81"/>
      <c r="O104" s="82"/>
      <c r="P104" s="80"/>
      <c r="Q104" s="83"/>
    </row>
    <row r="105" spans="1:17" ht="46.5" customHeight="1">
      <c r="A105" s="4"/>
      <c r="B105" s="104" t="s">
        <v>143</v>
      </c>
      <c r="C105" s="103" t="s">
        <v>145</v>
      </c>
      <c r="D105" s="99"/>
      <c r="E105" s="113"/>
      <c r="F105" s="9">
        <f>(5.18552+214.32)/5.31</f>
        <v>41.33813935969868</v>
      </c>
      <c r="G105" s="9">
        <f>F105*11.04</f>
        <v>456.37305853107341</v>
      </c>
      <c r="H105" s="10">
        <f>(F105-G105/11.04)*11.04*1.042</f>
        <v>0</v>
      </c>
      <c r="I105" s="10">
        <f>(F105-G105/11.04)*11.04*1.042*1.05</f>
        <v>0</v>
      </c>
      <c r="J105" s="10">
        <f>SUM(G105:I105)</f>
        <v>456.37305853107341</v>
      </c>
      <c r="K105" s="66">
        <f>SUM(G105:I105)</f>
        <v>456.37305853107341</v>
      </c>
      <c r="L105" s="68"/>
      <c r="M105" s="68"/>
      <c r="N105" s="68"/>
      <c r="O105" s="69"/>
      <c r="Q105" s="16"/>
    </row>
    <row r="106" spans="1:17" ht="36" customHeight="1">
      <c r="A106" s="4">
        <v>20</v>
      </c>
      <c r="B106" s="105" t="s">
        <v>149</v>
      </c>
      <c r="C106" s="19" t="s">
        <v>148</v>
      </c>
      <c r="D106" s="111"/>
      <c r="E106" s="112"/>
      <c r="F106" s="9">
        <v>1242.44</v>
      </c>
      <c r="G106" s="9">
        <f>(G91-G15-G17-G18-G19)*0.0199693</f>
        <v>806.9038492215218</v>
      </c>
      <c r="H106" s="9">
        <f>(H91-H15-H17-H18-H19)*0.0199693</f>
        <v>3326.8476964723413</v>
      </c>
      <c r="I106" s="9">
        <f>(I91-I15-I17-I18-I19)*0.0199693</f>
        <v>5210.7602663037387</v>
      </c>
      <c r="J106" s="9">
        <f>(J91-J15-J17-J18-J19)*0.0199693</f>
        <v>9344.5118119975996</v>
      </c>
      <c r="K106" s="129">
        <v>62217.579999999987</v>
      </c>
      <c r="L106" s="112">
        <v>1.9969275564880543E-2</v>
      </c>
      <c r="M106" s="120">
        <f>SUM(G106:I106)</f>
        <v>9344.5118119976032</v>
      </c>
      <c r="N106" s="68"/>
      <c r="O106" s="69"/>
      <c r="Q106" s="16"/>
    </row>
    <row r="107" spans="1:17" ht="36" customHeight="1">
      <c r="A107" s="4"/>
      <c r="B107" s="105" t="s">
        <v>146</v>
      </c>
      <c r="C107" s="93" t="s">
        <v>147</v>
      </c>
      <c r="D107" s="111"/>
      <c r="E107" s="112"/>
      <c r="F107" s="9">
        <f>104.3+94.73</f>
        <v>199.03</v>
      </c>
      <c r="G107" s="8">
        <f>(G93+G92-G16)*0.0152241</f>
        <v>172.25232160916073</v>
      </c>
      <c r="H107" s="8">
        <f t="shared" ref="H107:I107" si="45">(H93+H92-H16)*0.0152241</f>
        <v>260.96593891777644</v>
      </c>
      <c r="I107" s="8">
        <f t="shared" si="45"/>
        <v>1073.2415901852767</v>
      </c>
      <c r="J107" s="8">
        <f t="shared" ref="J107" si="46">(J93+J92-J16)*0.0152241</f>
        <v>1506.4598507122141</v>
      </c>
      <c r="K107" s="129">
        <v>13073.320347199999</v>
      </c>
      <c r="L107" s="112">
        <v>1.5224135469351334E-2</v>
      </c>
      <c r="M107" s="68"/>
      <c r="N107" s="68"/>
      <c r="O107" s="69"/>
      <c r="Q107" s="16"/>
    </row>
    <row r="108" spans="1:17" s="84" customFormat="1">
      <c r="A108" s="76"/>
      <c r="B108" s="114"/>
      <c r="C108" s="107" t="s">
        <v>63</v>
      </c>
      <c r="D108" s="115"/>
      <c r="E108" s="116"/>
      <c r="F108" s="117">
        <f>104.3</f>
        <v>104.3</v>
      </c>
      <c r="G108" s="118">
        <f>(G92-12.92*3.93)*0.0152241</f>
        <v>90.988214026089196</v>
      </c>
      <c r="H108" s="118">
        <f>(H92)*0.0152241</f>
        <v>131.3563463674339</v>
      </c>
      <c r="I108" s="118">
        <f>(I92)*0.0152241</f>
        <v>578.3380033101638</v>
      </c>
      <c r="J108" s="118">
        <f>SUM(G108:I108)</f>
        <v>800.68256370368692</v>
      </c>
      <c r="K108" s="82">
        <f>SUM(G108:I108)</f>
        <v>800.68256370368692</v>
      </c>
      <c r="L108" s="81"/>
      <c r="M108" s="81"/>
      <c r="N108" s="81"/>
      <c r="O108" s="82"/>
      <c r="P108" s="80"/>
      <c r="Q108" s="83"/>
    </row>
    <row r="109" spans="1:17" s="84" customFormat="1">
      <c r="A109" s="76"/>
      <c r="B109" s="114"/>
      <c r="C109" s="107" t="s">
        <v>65</v>
      </c>
      <c r="D109" s="115"/>
      <c r="E109" s="116"/>
      <c r="F109" s="117">
        <f>94.73</f>
        <v>94.73</v>
      </c>
      <c r="G109" s="118">
        <f>(G93-10.33*3.93)*0.0152241</f>
        <v>81.264346905923517</v>
      </c>
      <c r="H109" s="118">
        <f>(H93)*0.0152241</f>
        <v>129.60959255034248</v>
      </c>
      <c r="I109" s="118">
        <f>(I93)*0.0152241</f>
        <v>494.90358687511304</v>
      </c>
      <c r="J109" s="118">
        <f t="shared" ref="J109:J122" si="47">SUM(G109:I109)</f>
        <v>705.77752633137902</v>
      </c>
      <c r="K109" s="82">
        <f>SUM(G109:I109)</f>
        <v>705.77752633137902</v>
      </c>
      <c r="L109" s="81"/>
      <c r="M109" s="81"/>
      <c r="N109" s="81"/>
      <c r="O109" s="82"/>
      <c r="P109" s="80"/>
      <c r="Q109" s="83"/>
    </row>
    <row r="110" spans="1:17" ht="19.5" customHeight="1">
      <c r="A110" s="37"/>
      <c r="B110" s="54"/>
      <c r="C110" s="36" t="s">
        <v>20</v>
      </c>
      <c r="D110" s="22"/>
      <c r="E110" s="108">
        <f>F107+F106+F105+F100+F95+F89</f>
        <v>81575.276949896317</v>
      </c>
      <c r="F110" s="12">
        <f>F111+F112</f>
        <v>81575.277273096319</v>
      </c>
      <c r="G110" s="12">
        <f>G111+G112</f>
        <v>59620.637931810073</v>
      </c>
      <c r="H110" s="12">
        <f t="shared" ref="H110" si="48">H111+H112</f>
        <v>195422.0412928384</v>
      </c>
      <c r="I110" s="12">
        <f>I111+I112</f>
        <v>357306.72896220704</v>
      </c>
      <c r="J110" s="23">
        <f t="shared" si="47"/>
        <v>612349.40818685549</v>
      </c>
      <c r="K110" s="82">
        <f t="shared" ref="K110:K122" si="49">SUM(G110:I110)</f>
        <v>612349.40818685549</v>
      </c>
      <c r="L110" s="67"/>
      <c r="M110" s="66" t="e">
        <f>M89+J95+J106+#REF!+#REF!</f>
        <v>#REF!</v>
      </c>
      <c r="N110" s="69" t="e">
        <f>N89+J95+J106+#REF!+#REF!</f>
        <v>#REF!</v>
      </c>
      <c r="O110" s="66"/>
      <c r="P110" s="25"/>
      <c r="Q110" s="26"/>
    </row>
    <row r="111" spans="1:17">
      <c r="A111" s="4"/>
      <c r="B111" s="101"/>
      <c r="C111" s="98" t="s">
        <v>140</v>
      </c>
      <c r="D111" s="99"/>
      <c r="E111" s="17"/>
      <c r="F111" s="9">
        <f>F106+F105+F101+F96+F91</f>
        <v>67142.294055689912</v>
      </c>
      <c r="G111" s="64">
        <f>ROUND(G106+G105+G101+G96+G91,2)</f>
        <v>47058.19</v>
      </c>
      <c r="H111" s="64">
        <f t="shared" ref="H111:I111" si="50">ROUND(H106+H105+H101+H96+H91,2)</f>
        <v>176528.12</v>
      </c>
      <c r="I111" s="64">
        <f t="shared" si="50"/>
        <v>279604.09000000003</v>
      </c>
      <c r="J111" s="118">
        <f t="shared" si="47"/>
        <v>503190.4</v>
      </c>
      <c r="K111" s="82">
        <f t="shared" si="49"/>
        <v>503190.4</v>
      </c>
      <c r="L111" s="68"/>
      <c r="M111" s="68"/>
      <c r="N111" s="68"/>
      <c r="O111" s="69"/>
      <c r="Q111" s="16"/>
    </row>
    <row r="112" spans="1:17">
      <c r="A112" s="4"/>
      <c r="B112" s="101"/>
      <c r="C112" s="98" t="s">
        <v>141</v>
      </c>
      <c r="D112" s="99"/>
      <c r="E112" s="17"/>
      <c r="F112" s="9">
        <f>F102+F97+F107+F93+F92</f>
        <v>14432.983217406399</v>
      </c>
      <c r="G112" s="9">
        <f>G102+G97+G107+G93+G92</f>
        <v>12562.447931810071</v>
      </c>
      <c r="H112" s="9">
        <f t="shared" ref="H112:I112" si="51">H102+H97+H107+H93+H92</f>
        <v>18893.921292838397</v>
      </c>
      <c r="I112" s="9">
        <f t="shared" si="51"/>
        <v>77702.638962206998</v>
      </c>
      <c r="J112" s="118">
        <f t="shared" si="47"/>
        <v>109159.00818685547</v>
      </c>
      <c r="K112" s="66">
        <f t="shared" si="49"/>
        <v>109159.00818685547</v>
      </c>
      <c r="L112" s="68"/>
      <c r="M112" s="68"/>
      <c r="N112" s="68"/>
      <c r="O112" s="69"/>
      <c r="Q112" s="16"/>
    </row>
    <row r="113" spans="1:17" s="84" customFormat="1">
      <c r="A113" s="76"/>
      <c r="B113" s="114"/>
      <c r="C113" s="107" t="s">
        <v>63</v>
      </c>
      <c r="D113" s="115"/>
      <c r="E113" s="116"/>
      <c r="F113" s="117">
        <f>104.3+F103+F98+F92</f>
        <v>7666.2813438743997</v>
      </c>
      <c r="G113" s="121">
        <f>ROUND(G103+G98+G92+G108,2)</f>
        <v>6638.32</v>
      </c>
      <c r="H113" s="121">
        <f>ROUND(H103+H98+H92+H108,2)</f>
        <v>9510.18</v>
      </c>
      <c r="I113" s="121">
        <f>ROUND(I103+I98+I92+I108,2)</f>
        <v>41871.64</v>
      </c>
      <c r="J113" s="118">
        <f t="shared" si="47"/>
        <v>58020.14</v>
      </c>
      <c r="K113" s="82">
        <f>SUM(G113:I113)</f>
        <v>58020.14</v>
      </c>
      <c r="L113" s="81"/>
      <c r="M113" s="81"/>
      <c r="N113" s="81"/>
      <c r="O113" s="82"/>
      <c r="P113" s="80"/>
      <c r="Q113" s="83"/>
    </row>
    <row r="114" spans="1:17" s="84" customFormat="1">
      <c r="A114" s="76"/>
      <c r="B114" s="114"/>
      <c r="C114" s="107" t="s">
        <v>65</v>
      </c>
      <c r="D114" s="115"/>
      <c r="E114" s="116"/>
      <c r="F114" s="117">
        <f>94.73+F104+F99+F93</f>
        <v>6766.7022215320003</v>
      </c>
      <c r="G114" s="117">
        <f>(+G104+G99+G93+G109)</f>
        <v>5924.1416659611632</v>
      </c>
      <c r="H114" s="117">
        <f>(+H104+H99+H93+H109)+0.005</f>
        <v>9383.7332006928445</v>
      </c>
      <c r="I114" s="117">
        <f>(+I104+I99+I93+I109)</f>
        <v>35830.995633908955</v>
      </c>
      <c r="J114" s="118">
        <f t="shared" si="47"/>
        <v>51138.87050056296</v>
      </c>
      <c r="K114" s="82">
        <f>SUM(G114:I114)</f>
        <v>51138.87050056296</v>
      </c>
      <c r="L114" s="81"/>
      <c r="M114" s="81"/>
      <c r="N114" s="81"/>
      <c r="O114" s="82"/>
      <c r="P114" s="80"/>
      <c r="Q114" s="83"/>
    </row>
    <row r="115" spans="1:17" ht="15.75" customHeight="1">
      <c r="A115" s="5">
        <v>23</v>
      </c>
      <c r="B115" s="52" t="s">
        <v>11</v>
      </c>
      <c r="C115" s="28" t="s">
        <v>151</v>
      </c>
      <c r="D115" s="29"/>
      <c r="E115" s="30"/>
      <c r="F115" s="9">
        <f>F110*1.5%</f>
        <v>1223.6291590964447</v>
      </c>
      <c r="G115" s="9">
        <f>G110*1.5%</f>
        <v>894.30956897715112</v>
      </c>
      <c r="H115" s="9">
        <f>H110*1.5%</f>
        <v>2931.330619392576</v>
      </c>
      <c r="I115" s="9">
        <f>I110*1.5%</f>
        <v>5359.6009344331051</v>
      </c>
      <c r="J115" s="118">
        <f t="shared" si="47"/>
        <v>9185.2411228028323</v>
      </c>
      <c r="K115" s="82">
        <f t="shared" si="49"/>
        <v>9185.2411228028323</v>
      </c>
      <c r="L115" s="68"/>
      <c r="M115" s="68" t="e">
        <f>M110*3%</f>
        <v>#REF!</v>
      </c>
      <c r="N115" s="68"/>
      <c r="O115" s="69"/>
      <c r="Q115" s="16"/>
    </row>
    <row r="116" spans="1:17">
      <c r="A116" s="37"/>
      <c r="B116" s="34"/>
      <c r="C116" s="36" t="s">
        <v>21</v>
      </c>
      <c r="D116" s="22"/>
      <c r="E116" s="32"/>
      <c r="F116" s="12">
        <f>F110+F115</f>
        <v>82798.906432192758</v>
      </c>
      <c r="G116" s="70">
        <f>ROUND(G110+G115,2)</f>
        <v>60514.95</v>
      </c>
      <c r="H116" s="70">
        <f>ROUND(H110+H115,2)</f>
        <v>198353.37</v>
      </c>
      <c r="I116" s="70">
        <f>ROUND(I110+I115,2)</f>
        <v>362666.33</v>
      </c>
      <c r="J116" s="23">
        <f>SUM(G116:I116)</f>
        <v>621534.65</v>
      </c>
      <c r="K116" s="82">
        <f>J116*0.18</f>
        <v>111876.23699999999</v>
      </c>
      <c r="L116" s="67"/>
      <c r="M116" s="69" t="e">
        <f>SUM(M110:M115)</f>
        <v>#REF!</v>
      </c>
      <c r="N116" s="67"/>
      <c r="O116" s="66"/>
      <c r="P116" s="25"/>
      <c r="Q116" s="26"/>
    </row>
    <row r="117" spans="1:17">
      <c r="A117" s="5">
        <v>24</v>
      </c>
      <c r="B117" s="35"/>
      <c r="C117" s="6" t="s">
        <v>1</v>
      </c>
      <c r="D117" s="6"/>
      <c r="E117" s="11"/>
      <c r="F117" s="9">
        <f>(F116)*18%</f>
        <v>14903.803157794697</v>
      </c>
      <c r="G117" s="9">
        <f>ROUND((G116)*18%,2)</f>
        <v>10892.69</v>
      </c>
      <c r="H117" s="9">
        <f t="shared" ref="H117" si="52">ROUND((H116)*18%,2)</f>
        <v>35703.61</v>
      </c>
      <c r="I117" s="9">
        <f>ROUND((I116)*18%,3)</f>
        <v>65279.938999999998</v>
      </c>
      <c r="J117" s="118">
        <f t="shared" si="47"/>
        <v>111876.239</v>
      </c>
      <c r="K117" s="82">
        <f t="shared" si="49"/>
        <v>111876.239</v>
      </c>
      <c r="L117" s="68"/>
      <c r="M117" s="67" t="e">
        <f>M116*1.18</f>
        <v>#REF!</v>
      </c>
      <c r="N117" s="68"/>
      <c r="O117" s="69"/>
      <c r="Q117" s="16"/>
    </row>
    <row r="118" spans="1:17" ht="17.25">
      <c r="A118" s="6"/>
      <c r="B118" s="35"/>
      <c r="C118" s="122" t="s">
        <v>3</v>
      </c>
      <c r="D118" s="123"/>
      <c r="E118" s="124"/>
      <c r="F118" s="125">
        <f>F116+F117</f>
        <v>97702.709589987455</v>
      </c>
      <c r="G118" s="125">
        <f t="shared" ref="G118" si="53">G116+G117</f>
        <v>71407.64</v>
      </c>
      <c r="H118" s="125">
        <f>H116+H117</f>
        <v>234056.97999999998</v>
      </c>
      <c r="I118" s="125">
        <f>I116+I117</f>
        <v>427946.26900000003</v>
      </c>
      <c r="J118" s="126">
        <f t="shared" si="47"/>
        <v>733410.88899999997</v>
      </c>
      <c r="K118" s="82">
        <f t="shared" si="49"/>
        <v>733410.88899999997</v>
      </c>
      <c r="L118" s="68"/>
      <c r="M118" s="69">
        <f>J116+J117</f>
        <v>733410.88899999997</v>
      </c>
      <c r="N118" s="68"/>
      <c r="O118" s="69"/>
      <c r="Q118" s="16"/>
    </row>
    <row r="119" spans="1:17">
      <c r="A119" s="4"/>
      <c r="B119" s="101"/>
      <c r="C119" s="98" t="s">
        <v>140</v>
      </c>
      <c r="D119" s="99"/>
      <c r="E119" s="17"/>
      <c r="F119" s="9">
        <f>F111*1.015*1.18</f>
        <v>80416.325590499793</v>
      </c>
      <c r="G119" s="9">
        <f t="shared" ref="G119:I119" si="54">G111*1.015*1.18</f>
        <v>56361.594162999994</v>
      </c>
      <c r="H119" s="9">
        <f>H111*1.015*1.18</f>
        <v>211427.72932399996</v>
      </c>
      <c r="I119" s="9">
        <f t="shared" si="54"/>
        <v>334881.818593</v>
      </c>
      <c r="J119" s="118">
        <f>SUM(G119:I119)+0.01</f>
        <v>602671.15207999991</v>
      </c>
      <c r="K119" s="82">
        <f t="shared" si="49"/>
        <v>602671.1420799999</v>
      </c>
      <c r="L119" s="68"/>
      <c r="M119" s="68"/>
      <c r="N119" s="68"/>
      <c r="O119" s="69"/>
      <c r="Q119" s="16"/>
    </row>
    <row r="120" spans="1:17">
      <c r="A120" s="4"/>
      <c r="B120" s="101"/>
      <c r="C120" s="98" t="s">
        <v>141</v>
      </c>
      <c r="D120" s="99"/>
      <c r="E120" s="17"/>
      <c r="F120" s="9">
        <f>F112*1.015*1.18</f>
        <v>17286.383999487643</v>
      </c>
      <c r="G120" s="9">
        <f>G112*1.015*1.18</f>
        <v>15046.04388792892</v>
      </c>
      <c r="H120" s="9">
        <f t="shared" ref="H120" si="55">H112*1.015*1.18</f>
        <v>22629.249532432546</v>
      </c>
      <c r="I120" s="9">
        <f>I112*1.015*1.18-0.01</f>
        <v>93064.440685035312</v>
      </c>
      <c r="J120" s="118">
        <f t="shared" si="47"/>
        <v>130739.73410539678</v>
      </c>
      <c r="K120" s="82">
        <f t="shared" si="49"/>
        <v>130739.73410539678</v>
      </c>
      <c r="L120" s="68"/>
      <c r="M120" s="68"/>
      <c r="N120" s="68"/>
      <c r="O120" s="69"/>
      <c r="Q120" s="16"/>
    </row>
    <row r="121" spans="1:17" s="84" customFormat="1">
      <c r="A121" s="76"/>
      <c r="B121" s="114"/>
      <c r="C121" s="107" t="s">
        <v>63</v>
      </c>
      <c r="D121" s="115"/>
      <c r="E121" s="116"/>
      <c r="F121" s="117">
        <f>F113*1.015*1.18-0.01</f>
        <v>9181.8951655583678</v>
      </c>
      <c r="G121" s="117">
        <f>G113*1.015*1.18-0.01-0.01</f>
        <v>7950.6958639999984</v>
      </c>
      <c r="H121" s="117">
        <f>H113*1.015*1.18+0.01</f>
        <v>11390.352585999999</v>
      </c>
      <c r="I121" s="117">
        <f>I113*1.015*1.18</f>
        <v>50149.66322799999</v>
      </c>
      <c r="J121" s="118">
        <f t="shared" si="47"/>
        <v>69490.711677999992</v>
      </c>
      <c r="K121" s="82">
        <f t="shared" si="49"/>
        <v>69490.711677999992</v>
      </c>
      <c r="L121" s="81"/>
      <c r="M121" s="81"/>
      <c r="N121" s="81"/>
      <c r="O121" s="82"/>
      <c r="P121" s="80"/>
      <c r="Q121" s="83"/>
    </row>
    <row r="122" spans="1:17" s="84" customFormat="1">
      <c r="A122" s="76"/>
      <c r="B122" s="114"/>
      <c r="C122" s="107" t="s">
        <v>65</v>
      </c>
      <c r="D122" s="115"/>
      <c r="E122" s="116"/>
      <c r="F122" s="117">
        <f t="shared" ref="F122:G122" si="56">F114*1.015*1.18</f>
        <v>8104.4792507288757</v>
      </c>
      <c r="G122" s="117">
        <f t="shared" si="56"/>
        <v>7095.3444733216838</v>
      </c>
      <c r="H122" s="117">
        <f>H114*1.015*1.18+0.002</f>
        <v>11238.899254469819</v>
      </c>
      <c r="I122" s="117">
        <f>I114*1.015*1.18</f>
        <v>42914.783470732749</v>
      </c>
      <c r="J122" s="118">
        <f t="shared" si="47"/>
        <v>61249.027198524251</v>
      </c>
      <c r="K122" s="82">
        <f t="shared" si="49"/>
        <v>61249.027198524251</v>
      </c>
      <c r="L122" s="81"/>
      <c r="M122" s="81"/>
      <c r="N122" s="81"/>
      <c r="O122" s="82"/>
      <c r="P122" s="80"/>
      <c r="Q122" s="83"/>
    </row>
    <row r="123" spans="1:17">
      <c r="B123" s="3" t="s">
        <v>31</v>
      </c>
      <c r="D123" s="255"/>
      <c r="E123" s="255"/>
    </row>
    <row r="124" spans="1:17">
      <c r="A124" s="56"/>
      <c r="B124" s="57"/>
      <c r="C124" s="58"/>
      <c r="D124" s="56"/>
      <c r="E124" s="59"/>
      <c r="F124" s="60"/>
      <c r="G124" s="60"/>
      <c r="H124" s="60"/>
      <c r="I124" s="60"/>
      <c r="J124" s="61"/>
      <c r="N124" s="16"/>
      <c r="Q124" s="16"/>
    </row>
    <row r="125" spans="1:17">
      <c r="G125" s="15"/>
      <c r="H125" s="15"/>
      <c r="I125" s="15"/>
      <c r="J125" s="15"/>
    </row>
  </sheetData>
  <mergeCells count="9">
    <mergeCell ref="A10:B10"/>
    <mergeCell ref="C10:J10"/>
    <mergeCell ref="G5:J5"/>
    <mergeCell ref="D123:E123"/>
    <mergeCell ref="A2:C3"/>
    <mergeCell ref="G2:J3"/>
    <mergeCell ref="A8:J8"/>
    <mergeCell ref="A9:B9"/>
    <mergeCell ref="C9:J9"/>
  </mergeCells>
  <phoneticPr fontId="0" type="noConversion"/>
  <pageMargins left="0.39370078740157483" right="0.39370078740157483" top="0.78740157480314965" bottom="0.3149606299212598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Normal="100" zoomScaleSheetLayoutView="100" workbookViewId="0">
      <selection activeCell="J150" sqref="J150"/>
    </sheetView>
  </sheetViews>
  <sheetFormatPr defaultRowHeight="15.75"/>
  <cols>
    <col min="1" max="1" width="4.42578125" style="3" customWidth="1"/>
    <col min="2" max="2" width="14.5703125" style="168" customWidth="1"/>
    <col min="3" max="3" width="47.42578125" style="168" customWidth="1"/>
    <col min="4" max="4" width="8" style="168" customWidth="1"/>
    <col min="5" max="5" width="9.85546875" style="168" customWidth="1"/>
    <col min="6" max="6" width="13.5703125" style="168" customWidth="1"/>
    <col min="7" max="7" width="14" style="168" customWidth="1"/>
    <col min="8" max="8" width="15" style="168" customWidth="1"/>
    <col min="9" max="9" width="14" style="168" customWidth="1"/>
    <col min="10" max="10" width="16" style="168" customWidth="1"/>
    <col min="11" max="11" width="13.28515625" style="3" bestFit="1" customWidth="1"/>
    <col min="12" max="13" width="12.140625" style="3" bestFit="1" customWidth="1"/>
    <col min="14" max="14" width="13.140625" style="3" bestFit="1" customWidth="1"/>
    <col min="15" max="15" width="11.28515625" style="15" bestFit="1" customWidth="1"/>
    <col min="16" max="16" width="9.140625" style="3"/>
    <col min="17" max="17" width="13.140625" style="3" bestFit="1" customWidth="1"/>
  </cols>
  <sheetData>
    <row r="1" spans="1:17">
      <c r="B1" s="168" t="s">
        <v>22</v>
      </c>
      <c r="D1" s="174"/>
      <c r="E1" s="174"/>
      <c r="G1" s="175"/>
      <c r="H1" s="175"/>
      <c r="I1" s="263" t="s">
        <v>2</v>
      </c>
      <c r="J1" s="263"/>
      <c r="K1"/>
      <c r="L1"/>
      <c r="M1"/>
      <c r="N1"/>
      <c r="O1"/>
      <c r="P1"/>
      <c r="Q1"/>
    </row>
    <row r="2" spans="1:17" ht="12.75" customHeight="1">
      <c r="A2" s="256" t="s">
        <v>266</v>
      </c>
      <c r="B2" s="256"/>
      <c r="C2" s="256"/>
      <c r="D2" s="176"/>
      <c r="G2" s="177"/>
      <c r="H2" s="177"/>
      <c r="I2" s="269" t="s">
        <v>30</v>
      </c>
      <c r="J2" s="269"/>
      <c r="K2"/>
      <c r="L2"/>
      <c r="M2"/>
      <c r="N2"/>
      <c r="O2"/>
      <c r="P2"/>
      <c r="Q2"/>
    </row>
    <row r="3" spans="1:17" ht="32.25" customHeight="1">
      <c r="A3" s="256"/>
      <c r="B3" s="256"/>
      <c r="C3" s="256"/>
      <c r="D3" s="176"/>
      <c r="G3" s="177"/>
      <c r="H3" s="177"/>
      <c r="I3" s="269"/>
      <c r="J3" s="269"/>
      <c r="K3"/>
      <c r="L3"/>
      <c r="M3"/>
      <c r="N3"/>
      <c r="O3"/>
      <c r="P3"/>
      <c r="Q3"/>
    </row>
    <row r="4" spans="1:17" ht="18" customHeight="1">
      <c r="C4" s="176"/>
      <c r="D4" s="176"/>
      <c r="G4" s="235"/>
      <c r="H4" s="235"/>
      <c r="I4" s="174"/>
      <c r="J4" s="176"/>
      <c r="K4"/>
      <c r="L4"/>
      <c r="M4"/>
      <c r="N4"/>
      <c r="O4"/>
      <c r="P4"/>
      <c r="Q4"/>
    </row>
    <row r="5" spans="1:17">
      <c r="A5" s="40" t="s">
        <v>267</v>
      </c>
      <c r="B5" s="178"/>
      <c r="C5" s="178"/>
      <c r="G5" s="236"/>
      <c r="H5" s="236"/>
      <c r="I5" s="179"/>
      <c r="J5" s="180" t="s">
        <v>157</v>
      </c>
      <c r="K5"/>
      <c r="L5"/>
      <c r="M5"/>
      <c r="N5"/>
      <c r="O5"/>
      <c r="P5"/>
      <c r="Q5"/>
    </row>
    <row r="6" spans="1:17">
      <c r="A6" s="3" t="s">
        <v>156</v>
      </c>
      <c r="B6" s="174"/>
      <c r="H6" s="264" t="s">
        <v>248</v>
      </c>
      <c r="I6" s="264"/>
      <c r="J6" s="264"/>
      <c r="K6" s="264"/>
      <c r="L6"/>
      <c r="M6"/>
      <c r="N6"/>
      <c r="O6"/>
      <c r="P6"/>
      <c r="Q6"/>
    </row>
    <row r="7" spans="1:17" ht="9" customHeight="1">
      <c r="A7" s="39"/>
      <c r="B7" s="174"/>
      <c r="F7" s="181"/>
      <c r="G7" s="235"/>
      <c r="H7" s="235"/>
      <c r="I7" s="235"/>
      <c r="J7" s="235"/>
      <c r="K7"/>
      <c r="L7"/>
      <c r="M7"/>
      <c r="N7"/>
      <c r="O7"/>
      <c r="P7"/>
      <c r="Q7"/>
    </row>
    <row r="8" spans="1:17" ht="45.75" customHeight="1">
      <c r="A8" s="258" t="s">
        <v>265</v>
      </c>
      <c r="B8" s="258"/>
      <c r="C8" s="258"/>
      <c r="D8" s="258"/>
      <c r="E8" s="258"/>
      <c r="F8" s="258"/>
      <c r="G8" s="258"/>
      <c r="H8" s="258"/>
      <c r="I8" s="258"/>
      <c r="J8" s="258"/>
      <c r="K8"/>
      <c r="L8" s="40"/>
      <c r="M8"/>
      <c r="N8"/>
      <c r="O8"/>
      <c r="P8"/>
      <c r="Q8"/>
    </row>
    <row r="9" spans="1:17" s="45" customFormat="1" ht="42" customHeight="1">
      <c r="A9" s="259" t="s">
        <v>24</v>
      </c>
      <c r="B9" s="259"/>
      <c r="C9" s="266" t="s">
        <v>264</v>
      </c>
      <c r="D9" s="267"/>
      <c r="E9" s="267"/>
      <c r="F9" s="267"/>
      <c r="G9" s="267"/>
      <c r="H9" s="267"/>
      <c r="I9" s="267"/>
      <c r="J9" s="268"/>
    </row>
    <row r="10" spans="1:17" s="45" customFormat="1" ht="165.75" customHeight="1">
      <c r="A10" s="248" t="s">
        <v>25</v>
      </c>
      <c r="B10" s="249"/>
      <c r="C10" s="270" t="s">
        <v>242</v>
      </c>
      <c r="D10" s="271"/>
      <c r="E10" s="271"/>
      <c r="F10" s="271"/>
      <c r="G10" s="271"/>
      <c r="H10" s="271"/>
      <c r="I10" s="271"/>
      <c r="J10" s="272"/>
    </row>
    <row r="11" spans="1:17" s="233" customFormat="1" ht="20.25" customHeight="1">
      <c r="A11" s="240"/>
      <c r="B11" s="227" t="s">
        <v>26</v>
      </c>
      <c r="C11" s="182"/>
      <c r="D11" s="182"/>
      <c r="E11" s="232"/>
      <c r="F11" s="237"/>
      <c r="G11" s="238"/>
      <c r="H11" s="238"/>
      <c r="I11" s="238"/>
      <c r="J11" s="239"/>
    </row>
    <row r="12" spans="1:17" ht="180.75" customHeight="1">
      <c r="A12" s="4" t="s">
        <v>7</v>
      </c>
      <c r="B12" s="160" t="s">
        <v>8</v>
      </c>
      <c r="C12" s="183" t="s">
        <v>0</v>
      </c>
      <c r="D12" s="1" t="s">
        <v>4</v>
      </c>
      <c r="E12" s="2" t="s">
        <v>6</v>
      </c>
      <c r="F12" s="184" t="s">
        <v>250</v>
      </c>
      <c r="G12" s="185" t="s">
        <v>251</v>
      </c>
      <c r="H12" s="185" t="s">
        <v>252</v>
      </c>
      <c r="I12" s="185" t="s">
        <v>247</v>
      </c>
      <c r="J12" s="184" t="s">
        <v>249</v>
      </c>
    </row>
    <row r="13" spans="1:17" s="87" customFormat="1" ht="12.75">
      <c r="A13" s="228">
        <v>1</v>
      </c>
      <c r="B13" s="97">
        <v>2</v>
      </c>
      <c r="C13" s="229">
        <v>3</v>
      </c>
      <c r="D13" s="97">
        <v>4</v>
      </c>
      <c r="E13" s="229">
        <v>5</v>
      </c>
      <c r="F13" s="97">
        <v>6</v>
      </c>
      <c r="G13" s="229">
        <v>7</v>
      </c>
      <c r="H13" s="97">
        <v>8</v>
      </c>
      <c r="I13" s="229">
        <v>9</v>
      </c>
      <c r="J13" s="97">
        <v>10</v>
      </c>
      <c r="K13" s="230"/>
      <c r="L13" s="230"/>
      <c r="M13" s="230"/>
      <c r="N13" s="230"/>
      <c r="O13" s="231"/>
      <c r="P13" s="230"/>
      <c r="Q13" s="230"/>
    </row>
    <row r="14" spans="1:17">
      <c r="A14" s="4"/>
      <c r="B14" s="160"/>
      <c r="C14" s="186" t="s">
        <v>254</v>
      </c>
      <c r="D14" s="1"/>
      <c r="E14" s="243"/>
      <c r="F14" s="160"/>
      <c r="G14" s="160"/>
      <c r="H14" s="160"/>
      <c r="I14" s="160"/>
      <c r="J14" s="160"/>
      <c r="K14" s="41"/>
      <c r="L14" s="41"/>
      <c r="M14" s="41"/>
      <c r="N14" s="41"/>
      <c r="O14" s="42"/>
      <c r="P14" s="41"/>
      <c r="Q14" s="41"/>
    </row>
    <row r="15" spans="1:17" s="84" customFormat="1">
      <c r="A15" s="76"/>
      <c r="B15" s="275" t="s">
        <v>209</v>
      </c>
      <c r="C15" s="276"/>
      <c r="D15" s="78"/>
      <c r="E15" s="244"/>
      <c r="F15" s="161"/>
      <c r="G15" s="161"/>
      <c r="H15" s="161"/>
      <c r="I15" s="161"/>
      <c r="J15" s="161"/>
      <c r="K15" s="135"/>
      <c r="L15" s="135"/>
      <c r="M15" s="135"/>
      <c r="N15" s="135"/>
      <c r="O15" s="136"/>
      <c r="P15" s="135"/>
      <c r="Q15" s="135"/>
    </row>
    <row r="16" spans="1:17">
      <c r="A16" s="159">
        <v>1</v>
      </c>
      <c r="B16" s="187" t="s">
        <v>158</v>
      </c>
      <c r="C16" s="188" t="s">
        <v>159</v>
      </c>
      <c r="D16" s="1" t="s">
        <v>257</v>
      </c>
      <c r="E16" s="243" t="s">
        <v>257</v>
      </c>
      <c r="F16" s="64">
        <v>501.012</v>
      </c>
      <c r="G16" s="64">
        <f>(F16)*7.95*1.05</f>
        <v>4182.1976700000005</v>
      </c>
      <c r="H16" s="162">
        <v>0</v>
      </c>
      <c r="I16" s="162">
        <v>0</v>
      </c>
      <c r="J16" s="162">
        <f>G16+H16+I16</f>
        <v>4182.1976700000005</v>
      </c>
      <c r="N16" s="16"/>
      <c r="Q16" s="16"/>
    </row>
    <row r="17" spans="1:17">
      <c r="A17" s="159">
        <v>2</v>
      </c>
      <c r="B17" s="187" t="s">
        <v>160</v>
      </c>
      <c r="C17" s="188" t="s">
        <v>161</v>
      </c>
      <c r="D17" s="1" t="s">
        <v>258</v>
      </c>
      <c r="E17" s="243">
        <v>1</v>
      </c>
      <c r="F17" s="64">
        <v>2088.1469999999999</v>
      </c>
      <c r="G17" s="162">
        <f>F17*7.95*1.05</f>
        <v>17430.8070825</v>
      </c>
      <c r="H17" s="64">
        <v>0</v>
      </c>
      <c r="I17" s="64">
        <v>0</v>
      </c>
      <c r="J17" s="162">
        <f t="shared" ref="J17:J18" si="0">G17+H17+I17</f>
        <v>17430.8070825</v>
      </c>
      <c r="N17" s="16"/>
      <c r="Q17" s="16"/>
    </row>
    <row r="18" spans="1:17" s="140" customFormat="1">
      <c r="A18" s="159"/>
      <c r="B18" s="196"/>
      <c r="C18" s="192" t="s">
        <v>162</v>
      </c>
      <c r="D18" s="1"/>
      <c r="E18" s="243"/>
      <c r="F18" s="70">
        <f>F16+F17</f>
        <v>2589.1590000000001</v>
      </c>
      <c r="G18" s="70">
        <f t="shared" ref="G18:I18" si="1">G16+G17</f>
        <v>21613.004752500001</v>
      </c>
      <c r="H18" s="70">
        <f t="shared" si="1"/>
        <v>0</v>
      </c>
      <c r="I18" s="70">
        <f t="shared" si="1"/>
        <v>0</v>
      </c>
      <c r="J18" s="164">
        <f t="shared" si="0"/>
        <v>21613.004752500001</v>
      </c>
      <c r="K18" s="40"/>
      <c r="L18" s="40"/>
      <c r="M18" s="40"/>
      <c r="N18" s="139"/>
      <c r="O18" s="143"/>
      <c r="P18" s="40"/>
      <c r="Q18" s="139"/>
    </row>
    <row r="19" spans="1:17" s="84" customFormat="1">
      <c r="A19" s="234"/>
      <c r="B19" s="161"/>
      <c r="C19" s="189" t="s">
        <v>163</v>
      </c>
      <c r="D19" s="78"/>
      <c r="E19" s="244"/>
      <c r="F19" s="161"/>
      <c r="G19" s="161"/>
      <c r="H19" s="161"/>
      <c r="I19" s="161"/>
      <c r="J19" s="161"/>
      <c r="K19" s="135"/>
      <c r="L19" s="135"/>
      <c r="M19" s="135"/>
      <c r="N19" s="135"/>
      <c r="O19" s="136"/>
      <c r="P19" s="135"/>
      <c r="Q19" s="135"/>
    </row>
    <row r="20" spans="1:17" ht="47.25">
      <c r="A20" s="159">
        <v>3</v>
      </c>
      <c r="B20" s="187" t="s">
        <v>51</v>
      </c>
      <c r="C20" s="188" t="s">
        <v>196</v>
      </c>
      <c r="D20" s="1" t="s">
        <v>257</v>
      </c>
      <c r="E20" s="243" t="s">
        <v>257</v>
      </c>
      <c r="F20" s="64">
        <v>59.982999999999997</v>
      </c>
      <c r="G20" s="162">
        <f>F20*7.95*1.05</f>
        <v>500.70809250000002</v>
      </c>
      <c r="H20" s="162">
        <v>0</v>
      </c>
      <c r="I20" s="162">
        <v>0</v>
      </c>
      <c r="J20" s="162">
        <f t="shared" ref="J20:J83" si="2">G20+H20+I20</f>
        <v>500.70809250000002</v>
      </c>
      <c r="N20" s="16"/>
      <c r="Q20" s="16"/>
    </row>
    <row r="21" spans="1:17" ht="31.5">
      <c r="A21" s="159">
        <v>4</v>
      </c>
      <c r="B21" s="187" t="s">
        <v>176</v>
      </c>
      <c r="C21" s="188" t="s">
        <v>244</v>
      </c>
      <c r="D21" s="190" t="s">
        <v>257</v>
      </c>
      <c r="E21" s="194" t="s">
        <v>257</v>
      </c>
      <c r="F21" s="8">
        <f>3331110.22/1000/6.13</f>
        <v>543.41112887438828</v>
      </c>
      <c r="G21" s="162">
        <v>0</v>
      </c>
      <c r="H21" s="64">
        <v>0</v>
      </c>
      <c r="I21" s="64">
        <f>(F21-G21/6.13/1.05-H21/6.13/1.05/1.048)*6.13*1.05*1.048*1.045</f>
        <v>3830.5036019619597</v>
      </c>
      <c r="J21" s="162">
        <f t="shared" si="2"/>
        <v>3830.5036019619597</v>
      </c>
      <c r="N21" s="16"/>
      <c r="Q21" s="16"/>
    </row>
    <row r="22" spans="1:17" s="140" customFormat="1">
      <c r="A22" s="159"/>
      <c r="B22" s="191"/>
      <c r="C22" s="192" t="s">
        <v>162</v>
      </c>
      <c r="D22" s="141"/>
      <c r="E22" s="245"/>
      <c r="F22" s="142">
        <f>F20+F21</f>
        <v>603.39412887438823</v>
      </c>
      <c r="G22" s="142">
        <f t="shared" ref="G22:I22" si="3">G20+G21</f>
        <v>500.70809250000002</v>
      </c>
      <c r="H22" s="142">
        <f t="shared" si="3"/>
        <v>0</v>
      </c>
      <c r="I22" s="142">
        <f t="shared" si="3"/>
        <v>3830.5036019619597</v>
      </c>
      <c r="J22" s="164">
        <f t="shared" si="2"/>
        <v>4331.2116944619593</v>
      </c>
      <c r="K22" s="40"/>
      <c r="L22" s="40"/>
      <c r="M22" s="40"/>
      <c r="N22" s="139"/>
      <c r="O22" s="143"/>
      <c r="P22" s="40"/>
      <c r="Q22" s="139"/>
    </row>
    <row r="23" spans="1:17">
      <c r="A23" s="159"/>
      <c r="B23" s="187"/>
      <c r="C23" s="193" t="s">
        <v>172</v>
      </c>
      <c r="D23" s="190"/>
      <c r="E23" s="194"/>
      <c r="F23" s="8"/>
      <c r="G23" s="162"/>
      <c r="H23" s="64"/>
      <c r="I23" s="64"/>
      <c r="J23" s="162"/>
      <c r="N23" s="16"/>
      <c r="Q23" s="16"/>
    </row>
    <row r="24" spans="1:17">
      <c r="A24" s="159">
        <v>5</v>
      </c>
      <c r="B24" s="187" t="s">
        <v>170</v>
      </c>
      <c r="C24" s="188" t="s">
        <v>171</v>
      </c>
      <c r="D24" s="190" t="s">
        <v>257</v>
      </c>
      <c r="E24" s="194" t="s">
        <v>257</v>
      </c>
      <c r="F24" s="195">
        <f>100.694+104.754</f>
        <v>205.44800000000001</v>
      </c>
      <c r="G24" s="64">
        <f>F24*7.95*1.05</f>
        <v>1714.9771800000001</v>
      </c>
      <c r="H24" s="64">
        <f>(F24-G24/7.95/1.05)*7.95*1.05*1.048</f>
        <v>0</v>
      </c>
      <c r="I24" s="64">
        <f>(F24-G24/7.95/1.05-H24/7.95/1.05/1.048)*7.95*1.05*1.048*1.045</f>
        <v>0</v>
      </c>
      <c r="J24" s="162">
        <f t="shared" si="2"/>
        <v>1714.9771800000001</v>
      </c>
      <c r="N24" s="16"/>
      <c r="Q24" s="16"/>
    </row>
    <row r="25" spans="1:17" s="140" customFormat="1">
      <c r="A25" s="159"/>
      <c r="B25" s="191"/>
      <c r="C25" s="192" t="s">
        <v>162</v>
      </c>
      <c r="D25" s="141"/>
      <c r="E25" s="245"/>
      <c r="F25" s="142">
        <f>F24</f>
        <v>205.44800000000001</v>
      </c>
      <c r="G25" s="142">
        <f t="shared" ref="G25:I25" si="4">G24</f>
        <v>1714.9771800000001</v>
      </c>
      <c r="H25" s="142">
        <f t="shared" si="4"/>
        <v>0</v>
      </c>
      <c r="I25" s="142">
        <f t="shared" si="4"/>
        <v>0</v>
      </c>
      <c r="J25" s="164">
        <f t="shared" si="2"/>
        <v>1714.9771800000001</v>
      </c>
      <c r="K25" s="40"/>
      <c r="L25" s="40"/>
      <c r="M25" s="40"/>
      <c r="N25" s="139"/>
      <c r="O25" s="143"/>
      <c r="P25" s="40"/>
      <c r="Q25" s="139"/>
    </row>
    <row r="26" spans="1:17">
      <c r="A26" s="159"/>
      <c r="B26" s="187"/>
      <c r="C26" s="193" t="s">
        <v>164</v>
      </c>
      <c r="D26" s="190"/>
      <c r="E26" s="194"/>
      <c r="F26" s="8"/>
      <c r="G26" s="162"/>
      <c r="H26" s="64"/>
      <c r="I26" s="64"/>
      <c r="J26" s="162"/>
      <c r="N26" s="16"/>
      <c r="Q26" s="16"/>
    </row>
    <row r="27" spans="1:17">
      <c r="A27" s="159">
        <v>6</v>
      </c>
      <c r="B27" s="187" t="s">
        <v>59</v>
      </c>
      <c r="C27" s="188" t="s">
        <v>165</v>
      </c>
      <c r="D27" s="190" t="s">
        <v>259</v>
      </c>
      <c r="E27" s="194">
        <v>0.53300000000000003</v>
      </c>
      <c r="F27" s="195">
        <f>5.193+118.733+42.948</f>
        <v>166.874</v>
      </c>
      <c r="G27" s="64">
        <f>(F27-42.948)*7.95*1.05+42.948*4.16*1.05</f>
        <v>1222.0691490000002</v>
      </c>
      <c r="H27" s="64">
        <f>(F27-G27/7.95/1.05-42.948)*7.95*1.05*1.048+42.948*4.16*1.05*1.048</f>
        <v>0</v>
      </c>
      <c r="I27" s="64">
        <v>0</v>
      </c>
      <c r="J27" s="162">
        <f t="shared" si="2"/>
        <v>1222.0691490000002</v>
      </c>
      <c r="N27" s="16"/>
      <c r="Q27" s="16"/>
    </row>
    <row r="28" spans="1:17">
      <c r="A28" s="159">
        <v>7</v>
      </c>
      <c r="B28" s="187" t="s">
        <v>166</v>
      </c>
      <c r="C28" s="188" t="s">
        <v>167</v>
      </c>
      <c r="D28" s="190" t="s">
        <v>260</v>
      </c>
      <c r="E28" s="194">
        <v>160</v>
      </c>
      <c r="F28" s="195">
        <v>67.453999999999994</v>
      </c>
      <c r="G28" s="64">
        <f>F28*7.95*1.05</f>
        <v>563.07226500000002</v>
      </c>
      <c r="H28" s="64">
        <f>(F28-G28/7.95/1.05)*7.95*1.05*1.048</f>
        <v>0</v>
      </c>
      <c r="I28" s="64">
        <f>(F28-G28/7.95/1.05-H28/7.95/1.05/1.048)*7.95*1.05*1.048*1.045</f>
        <v>0</v>
      </c>
      <c r="J28" s="162">
        <f t="shared" si="2"/>
        <v>563.07226500000002</v>
      </c>
      <c r="N28" s="16"/>
      <c r="Q28" s="16"/>
    </row>
    <row r="29" spans="1:17">
      <c r="A29" s="159">
        <v>8</v>
      </c>
      <c r="B29" s="187" t="s">
        <v>168</v>
      </c>
      <c r="C29" s="188" t="s">
        <v>169</v>
      </c>
      <c r="D29" s="190" t="s">
        <v>259</v>
      </c>
      <c r="E29" s="194">
        <v>0.16</v>
      </c>
      <c r="F29" s="195">
        <f>365.848+176.604+63.75</f>
        <v>606.202</v>
      </c>
      <c r="G29" s="64">
        <f>(F29-63.75)*7.95*1.05+63.75*4.16*1.05</f>
        <v>4806.5780700000005</v>
      </c>
      <c r="H29" s="64">
        <f>(F29-G29/7.95/1.05-63.75)*7.95*1.05*1.048+63.75*4.16*1.05*1.048</f>
        <v>0</v>
      </c>
      <c r="I29" s="64">
        <v>0</v>
      </c>
      <c r="J29" s="162">
        <f t="shared" si="2"/>
        <v>4806.5780700000005</v>
      </c>
      <c r="N29" s="16"/>
      <c r="Q29" s="16"/>
    </row>
    <row r="30" spans="1:17" s="140" customFormat="1">
      <c r="A30" s="159"/>
      <c r="B30" s="196"/>
      <c r="C30" s="192" t="s">
        <v>162</v>
      </c>
      <c r="D30" s="141"/>
      <c r="E30" s="246"/>
      <c r="F30" s="70">
        <f>F27+F28+F29</f>
        <v>840.53</v>
      </c>
      <c r="G30" s="70">
        <f t="shared" ref="G30:I30" si="5">G27+G28+G29</f>
        <v>6591.7194840000011</v>
      </c>
      <c r="H30" s="70">
        <f t="shared" si="5"/>
        <v>0</v>
      </c>
      <c r="I30" s="70">
        <f t="shared" si="5"/>
        <v>0</v>
      </c>
      <c r="J30" s="164">
        <f t="shared" si="2"/>
        <v>6591.7194840000011</v>
      </c>
      <c r="K30" s="40"/>
      <c r="L30" s="40"/>
      <c r="M30" s="40"/>
      <c r="N30" s="139"/>
      <c r="O30" s="143"/>
      <c r="P30" s="40"/>
      <c r="Q30" s="139"/>
    </row>
    <row r="31" spans="1:17" ht="25.5">
      <c r="A31" s="159">
        <v>9</v>
      </c>
      <c r="B31" s="187" t="s">
        <v>173</v>
      </c>
      <c r="C31" s="188" t="s">
        <v>174</v>
      </c>
      <c r="D31" s="190" t="s">
        <v>257</v>
      </c>
      <c r="E31" s="194" t="s">
        <v>257</v>
      </c>
      <c r="F31" s="8">
        <v>10.57</v>
      </c>
      <c r="G31" s="162">
        <f>F31*1.266*3.91*1.05</f>
        <v>54.938240910000005</v>
      </c>
      <c r="H31" s="64">
        <v>0</v>
      </c>
      <c r="I31" s="64">
        <v>0</v>
      </c>
      <c r="J31" s="162">
        <f t="shared" si="2"/>
        <v>54.938240910000005</v>
      </c>
      <c r="N31" s="16"/>
      <c r="Q31" s="16"/>
    </row>
    <row r="32" spans="1:17" ht="31.5">
      <c r="A32" s="159">
        <v>10</v>
      </c>
      <c r="B32" s="187" t="s">
        <v>175</v>
      </c>
      <c r="C32" s="188" t="s">
        <v>229</v>
      </c>
      <c r="D32" s="190" t="s">
        <v>257</v>
      </c>
      <c r="E32" s="194" t="s">
        <v>257</v>
      </c>
      <c r="F32" s="8">
        <v>14.16</v>
      </c>
      <c r="G32" s="64">
        <f>F32*1.266*3.91*1.05</f>
        <v>73.597492080000009</v>
      </c>
      <c r="H32" s="64">
        <v>0</v>
      </c>
      <c r="I32" s="64">
        <v>0</v>
      </c>
      <c r="J32" s="162">
        <f t="shared" si="2"/>
        <v>73.597492080000009</v>
      </c>
      <c r="N32" s="16"/>
      <c r="Q32" s="16"/>
    </row>
    <row r="33" spans="1:17" ht="31.5">
      <c r="A33" s="159">
        <v>11</v>
      </c>
      <c r="B33" s="187" t="s">
        <v>176</v>
      </c>
      <c r="C33" s="188" t="s">
        <v>245</v>
      </c>
      <c r="D33" s="190" t="s">
        <v>257</v>
      </c>
      <c r="E33" s="194" t="s">
        <v>257</v>
      </c>
      <c r="F33" s="8">
        <f>(2.19373+1067.08154)/6.13</f>
        <v>174.43315986949426</v>
      </c>
      <c r="G33" s="162">
        <v>0</v>
      </c>
      <c r="H33" s="64">
        <v>0</v>
      </c>
      <c r="I33" s="64">
        <f>(F33-G33/6.13/1.05-H33/6.13/1.05/1.048)*6.13*1.05*1.048*1.045</f>
        <v>1229.57887992786</v>
      </c>
      <c r="J33" s="162">
        <f t="shared" si="2"/>
        <v>1229.57887992786</v>
      </c>
      <c r="N33" s="16"/>
      <c r="Q33" s="16"/>
    </row>
    <row r="34" spans="1:17">
      <c r="A34" s="159">
        <v>12</v>
      </c>
      <c r="B34" s="197"/>
      <c r="C34" s="198" t="s">
        <v>212</v>
      </c>
      <c r="D34" s="22"/>
      <c r="E34" s="247"/>
      <c r="F34" s="163">
        <f>F36+F37+F38</f>
        <v>4437.6942887438827</v>
      </c>
      <c r="G34" s="163">
        <f t="shared" ref="G34:I34" si="6">G36+G37+G38</f>
        <v>30548.945241990004</v>
      </c>
      <c r="H34" s="163">
        <f t="shared" si="6"/>
        <v>0</v>
      </c>
      <c r="I34" s="163">
        <f t="shared" si="6"/>
        <v>5060.08248188982</v>
      </c>
      <c r="J34" s="165">
        <f t="shared" si="2"/>
        <v>35609.027723879823</v>
      </c>
      <c r="K34" s="66">
        <f>SUM(G34:I34)</f>
        <v>35609.027723879823</v>
      </c>
      <c r="L34" s="27"/>
      <c r="M34" s="25"/>
      <c r="N34" s="26"/>
      <c r="O34" s="27"/>
      <c r="P34" s="25"/>
      <c r="Q34" s="26"/>
    </row>
    <row r="35" spans="1:17">
      <c r="A35" s="234"/>
      <c r="B35" s="197"/>
      <c r="C35" s="198" t="s">
        <v>62</v>
      </c>
      <c r="D35" s="22"/>
      <c r="E35" s="247"/>
      <c r="F35" s="163"/>
      <c r="G35" s="163"/>
      <c r="H35" s="163"/>
      <c r="I35" s="163"/>
      <c r="J35" s="162"/>
      <c r="K35" s="67"/>
      <c r="L35" s="25"/>
      <c r="M35" s="25"/>
      <c r="N35" s="26"/>
      <c r="O35" s="27"/>
      <c r="P35" s="25"/>
      <c r="Q35" s="26"/>
    </row>
    <row r="36" spans="1:17">
      <c r="A36" s="159">
        <v>13</v>
      </c>
      <c r="B36" s="197"/>
      <c r="C36" s="199" t="s">
        <v>177</v>
      </c>
      <c r="D36" s="22"/>
      <c r="E36" s="247"/>
      <c r="F36" s="163">
        <f>F18+F31</f>
        <v>2599.7290000000003</v>
      </c>
      <c r="G36" s="163">
        <f t="shared" ref="G36:I36" si="7">G18+G31</f>
        <v>21667.942993410001</v>
      </c>
      <c r="H36" s="163">
        <f t="shared" si="7"/>
        <v>0</v>
      </c>
      <c r="I36" s="163">
        <f t="shared" si="7"/>
        <v>0</v>
      </c>
      <c r="J36" s="165">
        <f t="shared" si="2"/>
        <v>21667.942993410001</v>
      </c>
      <c r="K36" s="67"/>
      <c r="L36" s="25"/>
      <c r="M36" s="25"/>
      <c r="N36" s="26"/>
      <c r="O36" s="27"/>
      <c r="P36" s="25"/>
      <c r="Q36" s="26"/>
    </row>
    <row r="37" spans="1:17">
      <c r="A37" s="159">
        <v>14</v>
      </c>
      <c r="B37" s="197"/>
      <c r="C37" s="199" t="s">
        <v>178</v>
      </c>
      <c r="D37" s="22"/>
      <c r="E37" s="247"/>
      <c r="F37" s="163">
        <f>F22+F32+F33</f>
        <v>791.98728874388246</v>
      </c>
      <c r="G37" s="163">
        <f t="shared" ref="G37:I37" si="8">G22+G32+G33</f>
        <v>574.30558458000007</v>
      </c>
      <c r="H37" s="163">
        <f t="shared" si="8"/>
        <v>0</v>
      </c>
      <c r="I37" s="163">
        <f t="shared" si="8"/>
        <v>5060.08248188982</v>
      </c>
      <c r="J37" s="165">
        <f t="shared" si="2"/>
        <v>5634.3880664698199</v>
      </c>
      <c r="K37" s="67"/>
      <c r="L37" s="25"/>
      <c r="M37" s="25"/>
      <c r="N37" s="26"/>
      <c r="O37" s="27"/>
      <c r="P37" s="25"/>
      <c r="Q37" s="26"/>
    </row>
    <row r="38" spans="1:17">
      <c r="A38" s="234"/>
      <c r="B38" s="197"/>
      <c r="C38" s="199" t="s">
        <v>179</v>
      </c>
      <c r="D38" s="22"/>
      <c r="E38" s="247"/>
      <c r="F38" s="163">
        <f>F25+F30</f>
        <v>1045.9780000000001</v>
      </c>
      <c r="G38" s="163">
        <f t="shared" ref="G38:I38" si="9">G25+G30</f>
        <v>8306.696664000001</v>
      </c>
      <c r="H38" s="163">
        <f t="shared" si="9"/>
        <v>0</v>
      </c>
      <c r="I38" s="163">
        <f t="shared" si="9"/>
        <v>0</v>
      </c>
      <c r="J38" s="165">
        <f t="shared" si="2"/>
        <v>8306.696664000001</v>
      </c>
      <c r="K38" s="67"/>
      <c r="L38" s="25"/>
      <c r="M38" s="25"/>
      <c r="N38" s="26"/>
      <c r="O38" s="27"/>
      <c r="P38" s="25"/>
      <c r="Q38" s="26"/>
    </row>
    <row r="39" spans="1:17">
      <c r="A39" s="159"/>
      <c r="B39" s="273" t="s">
        <v>208</v>
      </c>
      <c r="C39" s="274"/>
      <c r="D39" s="1"/>
      <c r="E39" s="243"/>
      <c r="F39" s="70"/>
      <c r="G39" s="70"/>
      <c r="H39" s="70"/>
      <c r="I39" s="70"/>
      <c r="J39" s="162"/>
      <c r="K39" s="69">
        <f>SUM(G39:H39)</f>
        <v>0</v>
      </c>
      <c r="L39" s="68"/>
      <c r="M39" s="68"/>
      <c r="N39" s="68" t="e">
        <f>#REF!*1.0512*1.03225944*1.04014*1.03*1.18</f>
        <v>#REF!</v>
      </c>
      <c r="O39" s="69"/>
      <c r="Q39" s="16" t="e">
        <f>#REF!*1.0512*1.0322607</f>
        <v>#REF!</v>
      </c>
    </row>
    <row r="40" spans="1:17">
      <c r="A40" s="159"/>
      <c r="B40" s="187"/>
      <c r="C40" s="186" t="s">
        <v>180</v>
      </c>
      <c r="D40" s="1"/>
      <c r="E40" s="243"/>
      <c r="F40" s="64"/>
      <c r="G40" s="162"/>
      <c r="H40" s="162"/>
      <c r="I40" s="162"/>
      <c r="J40" s="162"/>
      <c r="K40" s="68"/>
      <c r="L40" s="68"/>
      <c r="M40" s="68"/>
      <c r="N40" s="68"/>
      <c r="O40" s="69"/>
      <c r="Q40" s="16"/>
    </row>
    <row r="41" spans="1:17">
      <c r="A41" s="159">
        <v>15</v>
      </c>
      <c r="B41" s="187" t="s">
        <v>181</v>
      </c>
      <c r="C41" s="200" t="s">
        <v>182</v>
      </c>
      <c r="D41" s="1" t="s">
        <v>258</v>
      </c>
      <c r="E41" s="243">
        <v>3</v>
      </c>
      <c r="F41" s="64">
        <v>2366.297</v>
      </c>
      <c r="G41" s="64">
        <f>F41*7.95*1.05*61.57176%</f>
        <v>12162.062999447802</v>
      </c>
      <c r="H41" s="64">
        <f>(F41-G41/7.95/1.05)*7.95*1.05*1.048</f>
        <v>7954.9500660387057</v>
      </c>
      <c r="I41" s="64">
        <f t="shared" ref="I41:I49" si="10">(F41-G41/7.95/1.05-H41/7.95/1.05/1.048)*7.95*1.05*1.048*1.045</f>
        <v>1.0393078014203637E-12</v>
      </c>
      <c r="J41" s="162">
        <f t="shared" si="2"/>
        <v>20117.013065486506</v>
      </c>
      <c r="K41" s="68"/>
      <c r="L41" s="68"/>
      <c r="M41" s="68"/>
      <c r="N41" s="68"/>
      <c r="O41" s="69"/>
      <c r="Q41" s="16"/>
    </row>
    <row r="42" spans="1:17" ht="31.5">
      <c r="A42" s="159">
        <v>16</v>
      </c>
      <c r="B42" s="187" t="s">
        <v>183</v>
      </c>
      <c r="C42" s="188" t="s">
        <v>184</v>
      </c>
      <c r="D42" s="1" t="s">
        <v>261</v>
      </c>
      <c r="E42" s="243">
        <v>535</v>
      </c>
      <c r="F42" s="64">
        <v>82.087999999999994</v>
      </c>
      <c r="G42" s="64">
        <f>F42*7.95*1.05*0%</f>
        <v>0</v>
      </c>
      <c r="H42" s="64">
        <f>(F42-G42/7.95/1.05)*7.95*1.05*1.048</f>
        <v>718.12059984000007</v>
      </c>
      <c r="I42" s="64">
        <f t="shared" si="10"/>
        <v>-1.2991347517754546E-13</v>
      </c>
      <c r="J42" s="162">
        <f t="shared" si="2"/>
        <v>718.12059983999995</v>
      </c>
      <c r="K42" s="68"/>
      <c r="L42" s="68"/>
      <c r="M42" s="68"/>
      <c r="N42" s="68"/>
      <c r="O42" s="69"/>
      <c r="Q42" s="16"/>
    </row>
    <row r="43" spans="1:17">
      <c r="A43" s="159">
        <v>17</v>
      </c>
      <c r="B43" s="187" t="s">
        <v>185</v>
      </c>
      <c r="C43" s="188" t="s">
        <v>100</v>
      </c>
      <c r="D43" s="1" t="s">
        <v>262</v>
      </c>
      <c r="E43" s="243">
        <v>738.29</v>
      </c>
      <c r="F43" s="64">
        <v>18431.451000000001</v>
      </c>
      <c r="G43" s="64">
        <v>0</v>
      </c>
      <c r="H43" s="64">
        <f>(F43-G43/7.95/1.05)*7.95*1.05*1.048*55.57451%</f>
        <v>89609.257464261871</v>
      </c>
      <c r="I43" s="64">
        <f t="shared" si="10"/>
        <v>74855.851254439462</v>
      </c>
      <c r="J43" s="162">
        <f t="shared" si="2"/>
        <v>164465.10871870135</v>
      </c>
      <c r="K43" s="68"/>
      <c r="L43" s="68"/>
      <c r="M43" s="68"/>
      <c r="N43" s="68"/>
      <c r="O43" s="69"/>
      <c r="Q43" s="16"/>
    </row>
    <row r="44" spans="1:17" ht="31.5">
      <c r="A44" s="159">
        <v>18</v>
      </c>
      <c r="B44" s="187" t="s">
        <v>186</v>
      </c>
      <c r="C44" s="188" t="s">
        <v>187</v>
      </c>
      <c r="D44" s="1" t="s">
        <v>261</v>
      </c>
      <c r="E44" s="243">
        <v>10500</v>
      </c>
      <c r="F44" s="64">
        <v>925.73099999999999</v>
      </c>
      <c r="G44" s="64">
        <v>0</v>
      </c>
      <c r="H44" s="64">
        <f>(F44-G44/7.95/1.05)*7.95*1.05*1.048*50%</f>
        <v>4049.2307097900002</v>
      </c>
      <c r="I44" s="64">
        <f t="shared" si="10"/>
        <v>4231.4460917305505</v>
      </c>
      <c r="J44" s="162">
        <f t="shared" si="2"/>
        <v>8280.6768015205507</v>
      </c>
      <c r="K44" s="68"/>
      <c r="L44" s="68"/>
      <c r="M44" s="68"/>
      <c r="N44" s="68"/>
      <c r="O44" s="69"/>
      <c r="Q44" s="16"/>
    </row>
    <row r="45" spans="1:17">
      <c r="A45" s="159">
        <v>19</v>
      </c>
      <c r="B45" s="187" t="s">
        <v>188</v>
      </c>
      <c r="C45" s="188" t="s">
        <v>104</v>
      </c>
      <c r="D45" s="1" t="s">
        <v>263</v>
      </c>
      <c r="E45" s="243">
        <v>2</v>
      </c>
      <c r="F45" s="64">
        <v>1612.59</v>
      </c>
      <c r="G45" s="64">
        <f>F45*0%*7.95*1.05</f>
        <v>0</v>
      </c>
      <c r="H45" s="64">
        <f>(F45-G45/7.95/1.05)*7.95*1.05*1.048*0%</f>
        <v>0</v>
      </c>
      <c r="I45" s="64">
        <f t="shared" si="10"/>
        <v>14742.052827579</v>
      </c>
      <c r="J45" s="162">
        <f t="shared" si="2"/>
        <v>14742.052827579</v>
      </c>
      <c r="K45" s="68"/>
      <c r="L45" s="68"/>
      <c r="M45" s="68"/>
      <c r="N45" s="68"/>
      <c r="O45" s="69"/>
      <c r="Q45" s="16"/>
    </row>
    <row r="46" spans="1:17">
      <c r="A46" s="159">
        <v>20</v>
      </c>
      <c r="B46" s="187" t="s">
        <v>189</v>
      </c>
      <c r="C46" s="188" t="s">
        <v>108</v>
      </c>
      <c r="D46" s="1" t="s">
        <v>5</v>
      </c>
      <c r="E46" s="243">
        <v>4.57</v>
      </c>
      <c r="F46" s="64">
        <v>127.182</v>
      </c>
      <c r="G46" s="64">
        <f t="shared" ref="G46:G49" si="11">F46*0%*7.95*1.05</f>
        <v>0</v>
      </c>
      <c r="H46" s="64">
        <f>(F46-G46/7.95/1.05)*7.95*1.05*1.048*0%</f>
        <v>0</v>
      </c>
      <c r="I46" s="64">
        <f t="shared" si="10"/>
        <v>1162.6785250542</v>
      </c>
      <c r="J46" s="162">
        <f t="shared" si="2"/>
        <v>1162.6785250542</v>
      </c>
      <c r="K46" s="68"/>
      <c r="L46" s="68"/>
      <c r="M46" s="68"/>
      <c r="N46" s="68"/>
      <c r="O46" s="69"/>
      <c r="Q46" s="16"/>
    </row>
    <row r="47" spans="1:17">
      <c r="A47" s="159">
        <v>21</v>
      </c>
      <c r="B47" s="187" t="s">
        <v>190</v>
      </c>
      <c r="C47" s="200" t="s">
        <v>106</v>
      </c>
      <c r="D47" s="1" t="s">
        <v>257</v>
      </c>
      <c r="E47" s="243" t="s">
        <v>257</v>
      </c>
      <c r="F47" s="64">
        <v>2434.395</v>
      </c>
      <c r="G47" s="64">
        <f t="shared" si="11"/>
        <v>0</v>
      </c>
      <c r="H47" s="64">
        <f>(F47-G47/7.95/1.05)*7.95*1.05*1.048*0%</f>
        <v>0</v>
      </c>
      <c r="I47" s="64">
        <f t="shared" si="10"/>
        <v>22254.869305399498</v>
      </c>
      <c r="J47" s="162">
        <f t="shared" si="2"/>
        <v>22254.869305399498</v>
      </c>
      <c r="K47" s="68"/>
      <c r="L47" s="68"/>
      <c r="M47" s="68"/>
      <c r="N47" s="68"/>
      <c r="O47" s="69"/>
      <c r="Q47" s="16"/>
    </row>
    <row r="48" spans="1:17">
      <c r="A48" s="159">
        <v>22</v>
      </c>
      <c r="B48" s="187" t="s">
        <v>191</v>
      </c>
      <c r="C48" s="200" t="s">
        <v>192</v>
      </c>
      <c r="D48" s="1" t="s">
        <v>258</v>
      </c>
      <c r="E48" s="243">
        <v>1</v>
      </c>
      <c r="F48" s="64">
        <v>99.441999999999993</v>
      </c>
      <c r="G48" s="64">
        <f t="shared" si="11"/>
        <v>0</v>
      </c>
      <c r="H48" s="64">
        <f>(F48-G48/7.95/1.05)*7.95*1.05*1.048*0%</f>
        <v>0</v>
      </c>
      <c r="I48" s="64">
        <f t="shared" si="10"/>
        <v>909.08365876019991</v>
      </c>
      <c r="J48" s="162">
        <f t="shared" si="2"/>
        <v>909.08365876019991</v>
      </c>
      <c r="K48" s="68"/>
      <c r="L48" s="68"/>
      <c r="M48" s="68"/>
      <c r="N48" s="68"/>
      <c r="O48" s="69"/>
      <c r="Q48" s="16"/>
    </row>
    <row r="49" spans="1:17">
      <c r="A49" s="159">
        <v>23</v>
      </c>
      <c r="B49" s="187" t="s">
        <v>193</v>
      </c>
      <c r="C49" s="200" t="s">
        <v>194</v>
      </c>
      <c r="D49" s="1" t="s">
        <v>260</v>
      </c>
      <c r="E49" s="243">
        <v>96.43</v>
      </c>
      <c r="F49" s="64">
        <v>522.06399999999996</v>
      </c>
      <c r="G49" s="64">
        <f t="shared" si="11"/>
        <v>0</v>
      </c>
      <c r="H49" s="64">
        <f>(F49-G49/7.95/1.05)*7.95*1.05*1.048*0%</f>
        <v>0</v>
      </c>
      <c r="I49" s="64">
        <f t="shared" si="10"/>
        <v>4772.629786478401</v>
      </c>
      <c r="J49" s="162">
        <f t="shared" si="2"/>
        <v>4772.629786478401</v>
      </c>
      <c r="K49" s="68"/>
      <c r="L49" s="68"/>
      <c r="M49" s="68"/>
      <c r="N49" s="68"/>
      <c r="O49" s="69"/>
      <c r="Q49" s="16"/>
    </row>
    <row r="50" spans="1:17" ht="31.5">
      <c r="A50" s="159">
        <v>24</v>
      </c>
      <c r="B50" s="187" t="s">
        <v>195</v>
      </c>
      <c r="C50" s="188" t="s">
        <v>81</v>
      </c>
      <c r="D50" s="1" t="s">
        <v>257</v>
      </c>
      <c r="E50" s="243" t="s">
        <v>257</v>
      </c>
      <c r="F50" s="64">
        <v>119.485</v>
      </c>
      <c r="G50" s="162">
        <f>(G41+G42+G43+G44+G45+G46+G47+G48+G49)*0.449%</f>
        <v>54.607662867520631</v>
      </c>
      <c r="H50" s="162">
        <f t="shared" ref="H50:I50" si="12">(H41+H42+H43+H44+H45+H46+H47+H48+H49)*0.449%</f>
        <v>459.46869919128835</v>
      </c>
      <c r="I50" s="162">
        <f t="shared" si="12"/>
        <v>551.94946540799151</v>
      </c>
      <c r="J50" s="162">
        <f t="shared" si="2"/>
        <v>1066.0258274668004</v>
      </c>
      <c r="K50" s="68"/>
      <c r="L50" s="68"/>
      <c r="M50" s="68"/>
      <c r="N50" s="68"/>
      <c r="O50" s="69"/>
      <c r="Q50" s="16"/>
    </row>
    <row r="51" spans="1:17" s="140" customFormat="1">
      <c r="A51" s="159"/>
      <c r="B51" s="196"/>
      <c r="C51" s="192" t="s">
        <v>162</v>
      </c>
      <c r="D51" s="141"/>
      <c r="E51" s="246"/>
      <c r="F51" s="70">
        <f>SUM(F41:F50)</f>
        <v>26720.725000000002</v>
      </c>
      <c r="G51" s="70">
        <f t="shared" ref="G51:I51" si="13">SUM(G41:G50)</f>
        <v>12216.670662315322</v>
      </c>
      <c r="H51" s="70">
        <f t="shared" si="13"/>
        <v>102791.02753912187</v>
      </c>
      <c r="I51" s="70">
        <f t="shared" si="13"/>
        <v>123480.56091484929</v>
      </c>
      <c r="J51" s="164">
        <f t="shared" si="2"/>
        <v>238488.25911628647</v>
      </c>
      <c r="K51" s="137"/>
      <c r="L51" s="137"/>
      <c r="M51" s="137"/>
      <c r="N51" s="137"/>
      <c r="O51" s="138"/>
      <c r="P51" s="40"/>
      <c r="Q51" s="139"/>
    </row>
    <row r="52" spans="1:17">
      <c r="A52" s="159"/>
      <c r="B52" s="187"/>
      <c r="C52" s="186" t="s">
        <v>197</v>
      </c>
      <c r="D52" s="1"/>
      <c r="E52" s="243"/>
      <c r="F52" s="64"/>
      <c r="G52" s="162"/>
      <c r="H52" s="162"/>
      <c r="I52" s="162"/>
      <c r="J52" s="162"/>
      <c r="K52" s="68"/>
      <c r="L52" s="68"/>
      <c r="M52" s="68"/>
      <c r="N52" s="68"/>
      <c r="O52" s="69"/>
      <c r="Q52" s="16"/>
    </row>
    <row r="53" spans="1:17">
      <c r="A53" s="159">
        <v>25</v>
      </c>
      <c r="B53" s="187" t="s">
        <v>198</v>
      </c>
      <c r="C53" s="188" t="s">
        <v>28</v>
      </c>
      <c r="D53" s="1" t="s">
        <v>5</v>
      </c>
      <c r="E53" s="243">
        <v>9316</v>
      </c>
      <c r="F53" s="64">
        <v>1136.799</v>
      </c>
      <c r="G53" s="64">
        <f t="shared" ref="G53:G60" si="14">F53*0%*7.95*1.05</f>
        <v>0</v>
      </c>
      <c r="H53" s="64">
        <f t="shared" ref="H53:H60" si="15">(F53-G53/7.95/1.05)*7.95*1.05*1.048*0%</f>
        <v>0</v>
      </c>
      <c r="I53" s="64">
        <f t="shared" ref="I53:I60" si="16">(F53-G53/7.95/1.05-H53/7.95/1.05/1.048)*7.95*1.05*1.048*1.045</f>
        <v>10392.4437782319</v>
      </c>
      <c r="J53" s="162">
        <f t="shared" si="2"/>
        <v>10392.4437782319</v>
      </c>
      <c r="K53" s="68"/>
      <c r="L53" s="68"/>
      <c r="M53" s="68"/>
      <c r="N53" s="68"/>
      <c r="O53" s="69"/>
      <c r="Q53" s="16"/>
    </row>
    <row r="54" spans="1:17">
      <c r="A54" s="159">
        <v>26</v>
      </c>
      <c r="B54" s="187" t="s">
        <v>199</v>
      </c>
      <c r="C54" s="188" t="s">
        <v>27</v>
      </c>
      <c r="D54" s="1" t="s">
        <v>261</v>
      </c>
      <c r="E54" s="243">
        <v>2251.42</v>
      </c>
      <c r="F54" s="64">
        <v>908.68899999999996</v>
      </c>
      <c r="G54" s="64">
        <f t="shared" si="14"/>
        <v>0</v>
      </c>
      <c r="H54" s="64">
        <f t="shared" si="15"/>
        <v>0</v>
      </c>
      <c r="I54" s="64">
        <f t="shared" si="16"/>
        <v>8307.0968081408992</v>
      </c>
      <c r="J54" s="162">
        <f t="shared" si="2"/>
        <v>8307.0968081408992</v>
      </c>
      <c r="K54" s="68"/>
      <c r="L54" s="68"/>
      <c r="M54" s="68"/>
      <c r="N54" s="68"/>
      <c r="O54" s="69"/>
      <c r="Q54" s="16"/>
    </row>
    <row r="55" spans="1:17">
      <c r="A55" s="159">
        <v>27</v>
      </c>
      <c r="B55" s="187" t="s">
        <v>200</v>
      </c>
      <c r="C55" s="188" t="s">
        <v>83</v>
      </c>
      <c r="D55" s="1" t="s">
        <v>260</v>
      </c>
      <c r="E55" s="243">
        <v>152</v>
      </c>
      <c r="F55" s="64">
        <v>116.937</v>
      </c>
      <c r="G55" s="64">
        <f t="shared" si="14"/>
        <v>0</v>
      </c>
      <c r="H55" s="64">
        <f t="shared" si="15"/>
        <v>0</v>
      </c>
      <c r="I55" s="64">
        <f t="shared" si="16"/>
        <v>1069.0202912697</v>
      </c>
      <c r="J55" s="162">
        <f t="shared" si="2"/>
        <v>1069.0202912697</v>
      </c>
      <c r="K55" s="68"/>
      <c r="L55" s="68"/>
      <c r="M55" s="68"/>
      <c r="N55" s="68"/>
      <c r="O55" s="69"/>
      <c r="Q55" s="16"/>
    </row>
    <row r="56" spans="1:17">
      <c r="A56" s="159">
        <v>28</v>
      </c>
      <c r="B56" s="187" t="s">
        <v>201</v>
      </c>
      <c r="C56" s="188" t="s">
        <v>202</v>
      </c>
      <c r="D56" s="1" t="s">
        <v>260</v>
      </c>
      <c r="E56" s="243">
        <v>41.76</v>
      </c>
      <c r="F56" s="64">
        <v>156.73099999999999</v>
      </c>
      <c r="G56" s="64">
        <f t="shared" si="14"/>
        <v>0</v>
      </c>
      <c r="H56" s="64">
        <f t="shared" si="15"/>
        <v>0</v>
      </c>
      <c r="I56" s="64">
        <f t="shared" si="16"/>
        <v>1432.8109945611</v>
      </c>
      <c r="J56" s="162">
        <f t="shared" si="2"/>
        <v>1432.8109945611</v>
      </c>
      <c r="K56" s="68"/>
      <c r="L56" s="68"/>
      <c r="M56" s="68"/>
      <c r="N56" s="68"/>
      <c r="O56" s="69"/>
      <c r="Q56" s="16"/>
    </row>
    <row r="57" spans="1:17">
      <c r="A57" s="159">
        <v>29</v>
      </c>
      <c r="B57" s="187" t="s">
        <v>203</v>
      </c>
      <c r="C57" s="188" t="s">
        <v>204</v>
      </c>
      <c r="D57" s="1" t="s">
        <v>260</v>
      </c>
      <c r="E57" s="243">
        <v>130.83000000000001</v>
      </c>
      <c r="F57" s="64">
        <v>1089.0550000000001</v>
      </c>
      <c r="G57" s="64">
        <f t="shared" si="14"/>
        <v>0</v>
      </c>
      <c r="H57" s="64">
        <f t="shared" si="15"/>
        <v>0</v>
      </c>
      <c r="I57" s="64">
        <f t="shared" si="16"/>
        <v>9955.9753825454991</v>
      </c>
      <c r="J57" s="162">
        <f t="shared" si="2"/>
        <v>9955.9753825454991</v>
      </c>
      <c r="K57" s="68"/>
      <c r="L57" s="68"/>
      <c r="M57" s="68"/>
      <c r="N57" s="68"/>
      <c r="O57" s="69"/>
      <c r="Q57" s="16"/>
    </row>
    <row r="58" spans="1:17" ht="18" customHeight="1">
      <c r="A58" s="159">
        <v>30</v>
      </c>
      <c r="B58" s="187" t="s">
        <v>205</v>
      </c>
      <c r="C58" s="188" t="s">
        <v>206</v>
      </c>
      <c r="D58" s="1" t="s">
        <v>260</v>
      </c>
      <c r="E58" s="243">
        <v>42.83</v>
      </c>
      <c r="F58" s="64">
        <v>176.58199999999999</v>
      </c>
      <c r="G58" s="64">
        <f t="shared" si="14"/>
        <v>0</v>
      </c>
      <c r="H58" s="64">
        <f t="shared" si="15"/>
        <v>0</v>
      </c>
      <c r="I58" s="64">
        <f t="shared" si="16"/>
        <v>1614.2858211942</v>
      </c>
      <c r="J58" s="162">
        <f t="shared" si="2"/>
        <v>1614.2858211942</v>
      </c>
      <c r="K58" s="68"/>
      <c r="L58" s="68"/>
      <c r="M58" s="68"/>
      <c r="N58" s="68"/>
      <c r="O58" s="69"/>
      <c r="Q58" s="16"/>
    </row>
    <row r="59" spans="1:17">
      <c r="A59" s="159">
        <v>31</v>
      </c>
      <c r="B59" s="187" t="s">
        <v>207</v>
      </c>
      <c r="C59" s="200" t="s">
        <v>88</v>
      </c>
      <c r="D59" s="1" t="s">
        <v>257</v>
      </c>
      <c r="E59" s="243" t="s">
        <v>257</v>
      </c>
      <c r="F59" s="64">
        <v>298.93400000000003</v>
      </c>
      <c r="G59" s="64">
        <f t="shared" si="14"/>
        <v>0</v>
      </c>
      <c r="H59" s="64">
        <f t="shared" si="15"/>
        <v>0</v>
      </c>
      <c r="I59" s="64">
        <f t="shared" si="16"/>
        <v>2732.8092199254002</v>
      </c>
      <c r="J59" s="162">
        <f t="shared" si="2"/>
        <v>2732.8092199254002</v>
      </c>
      <c r="K59" s="68"/>
      <c r="L59" s="68"/>
      <c r="M59" s="68"/>
      <c r="N59" s="68"/>
      <c r="O59" s="69"/>
      <c r="Q59" s="16"/>
    </row>
    <row r="60" spans="1:17" ht="31.5">
      <c r="A60" s="159">
        <v>32</v>
      </c>
      <c r="B60" s="187" t="s">
        <v>210</v>
      </c>
      <c r="C60" s="188" t="s">
        <v>81</v>
      </c>
      <c r="D60" s="1" t="s">
        <v>257</v>
      </c>
      <c r="E60" s="243" t="s">
        <v>257</v>
      </c>
      <c r="F60" s="64">
        <f>9.422/1000</f>
        <v>9.4219999999999998E-3</v>
      </c>
      <c r="G60" s="64">
        <f t="shared" si="14"/>
        <v>0</v>
      </c>
      <c r="H60" s="64">
        <f t="shared" si="15"/>
        <v>0</v>
      </c>
      <c r="I60" s="64">
        <f t="shared" si="16"/>
        <v>8.6134492798199999E-2</v>
      </c>
      <c r="J60" s="162">
        <f t="shared" si="2"/>
        <v>8.6134492798199999E-2</v>
      </c>
      <c r="K60" s="68"/>
      <c r="L60" s="68"/>
      <c r="M60" s="68"/>
      <c r="N60" s="68"/>
      <c r="O60" s="69"/>
      <c r="Q60" s="16"/>
    </row>
    <row r="61" spans="1:17">
      <c r="A61" s="159"/>
      <c r="B61" s="187"/>
      <c r="C61" s="193" t="s">
        <v>162</v>
      </c>
      <c r="D61" s="22"/>
      <c r="E61" s="247"/>
      <c r="F61" s="163">
        <f>SUM(F53:F60)</f>
        <v>3883.7364220000004</v>
      </c>
      <c r="G61" s="163">
        <f t="shared" ref="G61:I61" si="17">SUM(G53:G60)</f>
        <v>0</v>
      </c>
      <c r="H61" s="163">
        <f t="shared" si="17"/>
        <v>0</v>
      </c>
      <c r="I61" s="163">
        <f t="shared" si="17"/>
        <v>35504.528430361497</v>
      </c>
      <c r="J61" s="165">
        <f t="shared" si="2"/>
        <v>35504.528430361497</v>
      </c>
      <c r="K61" s="68"/>
      <c r="L61" s="68"/>
      <c r="M61" s="68"/>
      <c r="N61" s="68"/>
      <c r="O61" s="69"/>
      <c r="Q61" s="16"/>
    </row>
    <row r="62" spans="1:17" s="86" customFormat="1">
      <c r="A62" s="234">
        <v>33</v>
      </c>
      <c r="B62" s="197"/>
      <c r="C62" s="193" t="s">
        <v>211</v>
      </c>
      <c r="D62" s="22"/>
      <c r="E62" s="247"/>
      <c r="F62" s="163">
        <f>F64+F65</f>
        <v>30604.461422000004</v>
      </c>
      <c r="G62" s="163">
        <f t="shared" ref="G62:I62" si="18">G64+G65</f>
        <v>12216.670662315322</v>
      </c>
      <c r="H62" s="163">
        <f t="shared" si="18"/>
        <v>102791.02753912187</v>
      </c>
      <c r="I62" s="163">
        <f t="shared" si="18"/>
        <v>158985.08934521078</v>
      </c>
      <c r="J62" s="165">
        <f t="shared" si="2"/>
        <v>273992.78754664795</v>
      </c>
      <c r="K62" s="67"/>
      <c r="L62" s="67"/>
      <c r="M62" s="67"/>
      <c r="N62" s="67"/>
      <c r="O62" s="66"/>
      <c r="P62" s="25"/>
      <c r="Q62" s="26"/>
    </row>
    <row r="63" spans="1:17">
      <c r="A63" s="234"/>
      <c r="B63" s="197"/>
      <c r="C63" s="198" t="s">
        <v>62</v>
      </c>
      <c r="D63" s="22"/>
      <c r="E63" s="247"/>
      <c r="F63" s="163"/>
      <c r="G63" s="163"/>
      <c r="H63" s="163"/>
      <c r="I63" s="163"/>
      <c r="J63" s="162"/>
      <c r="K63" s="67"/>
      <c r="L63" s="25"/>
      <c r="M63" s="25"/>
      <c r="N63" s="26"/>
      <c r="O63" s="27"/>
      <c r="P63" s="25"/>
      <c r="Q63" s="26"/>
    </row>
    <row r="64" spans="1:17" s="87" customFormat="1">
      <c r="A64" s="234">
        <v>34</v>
      </c>
      <c r="B64" s="214"/>
      <c r="C64" s="209" t="s">
        <v>177</v>
      </c>
      <c r="D64" s="78"/>
      <c r="E64" s="244"/>
      <c r="F64" s="121">
        <f>F51</f>
        <v>26720.725000000002</v>
      </c>
      <c r="G64" s="121">
        <f t="shared" ref="G64:I64" si="19">G51</f>
        <v>12216.670662315322</v>
      </c>
      <c r="H64" s="121">
        <f t="shared" si="19"/>
        <v>102791.02753912187</v>
      </c>
      <c r="I64" s="121">
        <f t="shared" si="19"/>
        <v>123480.56091484929</v>
      </c>
      <c r="J64" s="162">
        <f t="shared" si="2"/>
        <v>238488.25911628647</v>
      </c>
      <c r="K64" s="81"/>
      <c r="L64" s="80"/>
      <c r="M64" s="80"/>
      <c r="N64" s="83"/>
      <c r="O64" s="215"/>
      <c r="P64" s="80"/>
      <c r="Q64" s="83"/>
    </row>
    <row r="65" spans="1:17" s="87" customFormat="1">
      <c r="A65" s="234">
        <v>35</v>
      </c>
      <c r="B65" s="214"/>
      <c r="C65" s="209" t="s">
        <v>178</v>
      </c>
      <c r="D65" s="78"/>
      <c r="E65" s="244"/>
      <c r="F65" s="121">
        <f>F61</f>
        <v>3883.7364220000004</v>
      </c>
      <c r="G65" s="121">
        <f t="shared" ref="G65:I65" si="20">G61</f>
        <v>0</v>
      </c>
      <c r="H65" s="121">
        <f t="shared" si="20"/>
        <v>0</v>
      </c>
      <c r="I65" s="121">
        <f t="shared" si="20"/>
        <v>35504.528430361497</v>
      </c>
      <c r="J65" s="162">
        <f t="shared" si="2"/>
        <v>35504.528430361497</v>
      </c>
      <c r="K65" s="81"/>
      <c r="L65" s="80"/>
      <c r="M65" s="80"/>
      <c r="N65" s="83"/>
      <c r="O65" s="215"/>
      <c r="P65" s="80"/>
      <c r="Q65" s="83"/>
    </row>
    <row r="66" spans="1:17">
      <c r="A66" s="159"/>
      <c r="B66" s="273" t="s">
        <v>213</v>
      </c>
      <c r="C66" s="274"/>
      <c r="D66" s="1"/>
      <c r="E66" s="243"/>
      <c r="F66" s="70"/>
      <c r="G66" s="70"/>
      <c r="H66" s="70"/>
      <c r="I66" s="70"/>
      <c r="J66" s="162"/>
      <c r="K66" s="69">
        <f>SUM(G66:H66)</f>
        <v>0</v>
      </c>
      <c r="L66" s="68"/>
      <c r="M66" s="68"/>
      <c r="N66" s="68" t="e">
        <f>#REF!*1.0512*1.03225944*1.04014*1.03*1.18</f>
        <v>#REF!</v>
      </c>
      <c r="O66" s="69"/>
      <c r="Q66" s="16" t="e">
        <f>#REF!*1.0512*1.0322607</f>
        <v>#REF!</v>
      </c>
    </row>
    <row r="67" spans="1:17">
      <c r="A67" s="159"/>
      <c r="B67" s="187"/>
      <c r="C67" s="186" t="s">
        <v>180</v>
      </c>
      <c r="D67" s="1"/>
      <c r="E67" s="243"/>
      <c r="F67" s="64"/>
      <c r="G67" s="162"/>
      <c r="H67" s="162"/>
      <c r="I67" s="162"/>
      <c r="J67" s="162"/>
      <c r="K67" s="68"/>
      <c r="L67" s="68"/>
      <c r="M67" s="68"/>
      <c r="N67" s="68"/>
      <c r="O67" s="69"/>
      <c r="Q67" s="16"/>
    </row>
    <row r="68" spans="1:17">
      <c r="A68" s="159">
        <v>36</v>
      </c>
      <c r="B68" s="187" t="s">
        <v>214</v>
      </c>
      <c r="C68" s="200" t="s">
        <v>215</v>
      </c>
      <c r="D68" s="1" t="s">
        <v>257</v>
      </c>
      <c r="E68" s="243" t="s">
        <v>257</v>
      </c>
      <c r="F68" s="64">
        <f>87.725+301.857+71.812</f>
        <v>461.39400000000001</v>
      </c>
      <c r="G68" s="64">
        <f>F68*0%*7.7*1.05</f>
        <v>0</v>
      </c>
      <c r="H68" s="64">
        <f>(F68-G68/7.95/1.05-71.812)*7.95*1.05*1.048+71.812*4.16*1.05*1.048</f>
        <v>3736.864667928</v>
      </c>
      <c r="I68" s="64">
        <f>(F68-G68/7.95/1.05-H68/7.95/1.05/1.048-71.812)*7.95*1.05*1.048*1.045+71.812*4.16*1.05*1.048*1.045</f>
        <v>4.5474735088646412E-13</v>
      </c>
      <c r="J68" s="162">
        <f t="shared" si="2"/>
        <v>3736.8646679280005</v>
      </c>
      <c r="K68" s="68"/>
      <c r="L68" s="68"/>
      <c r="M68" s="68"/>
      <c r="N68" s="68"/>
      <c r="O68" s="69"/>
      <c r="Q68" s="16"/>
    </row>
    <row r="69" spans="1:17" s="86" customFormat="1">
      <c r="A69" s="159">
        <v>37</v>
      </c>
      <c r="B69" s="197"/>
      <c r="C69" s="193" t="s">
        <v>220</v>
      </c>
      <c r="D69" s="22"/>
      <c r="E69" s="247"/>
      <c r="F69" s="163">
        <f>F68</f>
        <v>461.39400000000001</v>
      </c>
      <c r="G69" s="163">
        <f t="shared" ref="G69:I70" si="21">G68</f>
        <v>0</v>
      </c>
      <c r="H69" s="163">
        <f t="shared" si="21"/>
        <v>3736.864667928</v>
      </c>
      <c r="I69" s="163">
        <f t="shared" si="21"/>
        <v>4.5474735088646412E-13</v>
      </c>
      <c r="J69" s="165">
        <f t="shared" si="2"/>
        <v>3736.8646679280005</v>
      </c>
      <c r="K69" s="67"/>
      <c r="L69" s="25"/>
      <c r="M69" s="25"/>
      <c r="N69" s="26"/>
      <c r="O69" s="27"/>
      <c r="P69" s="25"/>
      <c r="Q69" s="26"/>
    </row>
    <row r="70" spans="1:17">
      <c r="A70" s="159"/>
      <c r="B70" s="197"/>
      <c r="C70" s="199" t="s">
        <v>179</v>
      </c>
      <c r="D70" s="22"/>
      <c r="E70" s="247"/>
      <c r="F70" s="163">
        <f>F69</f>
        <v>461.39400000000001</v>
      </c>
      <c r="G70" s="163">
        <f t="shared" si="21"/>
        <v>0</v>
      </c>
      <c r="H70" s="163">
        <f t="shared" si="21"/>
        <v>3736.864667928</v>
      </c>
      <c r="I70" s="163">
        <f t="shared" si="21"/>
        <v>4.5474735088646412E-13</v>
      </c>
      <c r="J70" s="165">
        <f t="shared" si="2"/>
        <v>3736.8646679280005</v>
      </c>
      <c r="K70" s="67"/>
      <c r="L70" s="25"/>
      <c r="M70" s="25"/>
      <c r="N70" s="26"/>
      <c r="O70" s="27"/>
      <c r="P70" s="25"/>
      <c r="Q70" s="26"/>
    </row>
    <row r="71" spans="1:17">
      <c r="A71" s="159"/>
      <c r="B71" s="273" t="s">
        <v>216</v>
      </c>
      <c r="C71" s="274"/>
      <c r="D71" s="1"/>
      <c r="E71" s="243"/>
      <c r="F71" s="70"/>
      <c r="G71" s="70"/>
      <c r="H71" s="70"/>
      <c r="I71" s="70"/>
      <c r="J71" s="162"/>
      <c r="K71" s="69">
        <f>SUM(G71:H71)</f>
        <v>0</v>
      </c>
      <c r="L71" s="68"/>
      <c r="M71" s="68"/>
      <c r="N71" s="68" t="e">
        <f>#REF!*1.0512*1.03225944*1.04014*1.03*1.18</f>
        <v>#REF!</v>
      </c>
      <c r="O71" s="69"/>
      <c r="Q71" s="16" t="e">
        <f>#REF!*1.0512*1.0322607</f>
        <v>#REF!</v>
      </c>
    </row>
    <row r="72" spans="1:17" s="87" customFormat="1">
      <c r="A72" s="159">
        <v>38</v>
      </c>
      <c r="B72" s="187" t="s">
        <v>217</v>
      </c>
      <c r="C72" s="200" t="s">
        <v>218</v>
      </c>
      <c r="D72" s="1" t="s">
        <v>257</v>
      </c>
      <c r="E72" s="243" t="s">
        <v>257</v>
      </c>
      <c r="F72" s="64">
        <v>347.13099999999997</v>
      </c>
      <c r="G72" s="64">
        <f>F72*0%*7.7*1.05</f>
        <v>0</v>
      </c>
      <c r="H72" s="64">
        <f>(F72-G72/7.95/1.05)*7.95*1.05*1.048</f>
        <v>3036.7644715799997</v>
      </c>
      <c r="I72" s="64">
        <f>(F72-G72/7.95/1.05-H72/7.95/1.05/1.048)*7.95*1.05*1.048*1.045</f>
        <v>5.1965390071018185E-13</v>
      </c>
      <c r="J72" s="162">
        <f t="shared" si="2"/>
        <v>3036.7644715800002</v>
      </c>
      <c r="K72" s="68"/>
      <c r="L72" s="68"/>
      <c r="M72" s="68"/>
      <c r="N72" s="68"/>
      <c r="O72" s="69"/>
      <c r="P72" s="3"/>
      <c r="Q72" s="16"/>
    </row>
    <row r="73" spans="1:17" s="86" customFormat="1">
      <c r="A73" s="159">
        <v>39</v>
      </c>
      <c r="B73" s="197"/>
      <c r="C73" s="193" t="s">
        <v>221</v>
      </c>
      <c r="D73" s="22"/>
      <c r="E73" s="247"/>
      <c r="F73" s="163">
        <f>F72</f>
        <v>347.13099999999997</v>
      </c>
      <c r="G73" s="163">
        <f t="shared" ref="G73:I74" si="22">G72</f>
        <v>0</v>
      </c>
      <c r="H73" s="163">
        <f t="shared" si="22"/>
        <v>3036.7644715799997</v>
      </c>
      <c r="I73" s="163">
        <f t="shared" si="22"/>
        <v>5.1965390071018185E-13</v>
      </c>
      <c r="J73" s="165">
        <f t="shared" si="2"/>
        <v>3036.7644715800002</v>
      </c>
      <c r="K73" s="67"/>
      <c r="L73" s="25"/>
      <c r="M73" s="25"/>
      <c r="N73" s="26"/>
      <c r="O73" s="27"/>
      <c r="P73" s="25"/>
      <c r="Q73" s="26"/>
    </row>
    <row r="74" spans="1:17" s="87" customFormat="1">
      <c r="A74" s="159"/>
      <c r="B74" s="214"/>
      <c r="C74" s="209" t="s">
        <v>179</v>
      </c>
      <c r="D74" s="78"/>
      <c r="E74" s="244"/>
      <c r="F74" s="121">
        <f>F73</f>
        <v>347.13099999999997</v>
      </c>
      <c r="G74" s="121">
        <f t="shared" si="22"/>
        <v>0</v>
      </c>
      <c r="H74" s="121">
        <f t="shared" si="22"/>
        <v>3036.7644715799997</v>
      </c>
      <c r="I74" s="121">
        <f t="shared" si="22"/>
        <v>5.1965390071018185E-13</v>
      </c>
      <c r="J74" s="167">
        <f t="shared" si="2"/>
        <v>3036.7644715800002</v>
      </c>
      <c r="K74" s="81"/>
      <c r="L74" s="80"/>
      <c r="M74" s="80"/>
      <c r="N74" s="83"/>
      <c r="O74" s="215"/>
      <c r="P74" s="80"/>
      <c r="Q74" s="83"/>
    </row>
    <row r="75" spans="1:17" s="140" customFormat="1">
      <c r="A75" s="159">
        <v>40</v>
      </c>
      <c r="B75" s="196"/>
      <c r="C75" s="201" t="s">
        <v>219</v>
      </c>
      <c r="D75" s="141"/>
      <c r="E75" s="246"/>
      <c r="F75" s="70">
        <f>F77+F78+F79</f>
        <v>35850.68071074388</v>
      </c>
      <c r="G75" s="70">
        <f t="shared" ref="G75:I75" si="23">G77+G78+G79</f>
        <v>42765.615904305319</v>
      </c>
      <c r="H75" s="70">
        <f t="shared" si="23"/>
        <v>109564.65667862988</v>
      </c>
      <c r="I75" s="70">
        <f t="shared" si="23"/>
        <v>164045.17182710062</v>
      </c>
      <c r="J75" s="164">
        <f t="shared" si="2"/>
        <v>316375.44441003585</v>
      </c>
      <c r="K75" s="137"/>
      <c r="L75" s="40"/>
      <c r="M75" s="40"/>
      <c r="N75" s="139"/>
      <c r="O75" s="143"/>
      <c r="P75" s="40"/>
      <c r="Q75" s="139"/>
    </row>
    <row r="76" spans="1:17">
      <c r="A76" s="159"/>
      <c r="B76" s="197"/>
      <c r="C76" s="198" t="s">
        <v>62</v>
      </c>
      <c r="D76" s="22"/>
      <c r="E76" s="247"/>
      <c r="F76" s="163"/>
      <c r="G76" s="163"/>
      <c r="H76" s="163"/>
      <c r="I76" s="163"/>
      <c r="J76" s="162"/>
      <c r="K76" s="67"/>
      <c r="L76" s="25"/>
      <c r="M76" s="25"/>
      <c r="N76" s="26"/>
      <c r="O76" s="27"/>
      <c r="P76" s="25"/>
      <c r="Q76" s="26"/>
    </row>
    <row r="77" spans="1:17" s="87" customFormat="1">
      <c r="A77" s="159">
        <v>41</v>
      </c>
      <c r="B77" s="214"/>
      <c r="C77" s="209" t="s">
        <v>177</v>
      </c>
      <c r="D77" s="78"/>
      <c r="E77" s="244"/>
      <c r="F77" s="121">
        <f>F36+F64</f>
        <v>29320.454000000002</v>
      </c>
      <c r="G77" s="121">
        <f t="shared" ref="G77:I77" si="24">G36+G64</f>
        <v>33884.613655725319</v>
      </c>
      <c r="H77" s="121">
        <f t="shared" si="24"/>
        <v>102791.02753912187</v>
      </c>
      <c r="I77" s="121">
        <f t="shared" si="24"/>
        <v>123480.56091484929</v>
      </c>
      <c r="J77" s="167">
        <f t="shared" si="2"/>
        <v>260156.20210969646</v>
      </c>
      <c r="K77" s="81"/>
      <c r="L77" s="80"/>
      <c r="M77" s="80"/>
      <c r="N77" s="83"/>
      <c r="O77" s="215"/>
      <c r="P77" s="80"/>
      <c r="Q77" s="83"/>
    </row>
    <row r="78" spans="1:17" s="87" customFormat="1">
      <c r="A78" s="159">
        <v>42</v>
      </c>
      <c r="B78" s="214"/>
      <c r="C78" s="209" t="s">
        <v>178</v>
      </c>
      <c r="D78" s="78"/>
      <c r="E78" s="244"/>
      <c r="F78" s="121">
        <f>F37+F65</f>
        <v>4675.7237107438832</v>
      </c>
      <c r="G78" s="121">
        <f t="shared" ref="G78:I78" si="25">G37+G65</f>
        <v>574.30558458000007</v>
      </c>
      <c r="H78" s="121">
        <f t="shared" si="25"/>
        <v>0</v>
      </c>
      <c r="I78" s="121">
        <f t="shared" si="25"/>
        <v>40564.610912251315</v>
      </c>
      <c r="J78" s="167">
        <f t="shared" si="2"/>
        <v>41138.916496831313</v>
      </c>
      <c r="K78" s="81"/>
      <c r="L78" s="80"/>
      <c r="M78" s="80"/>
      <c r="N78" s="83"/>
      <c r="O78" s="215"/>
      <c r="P78" s="80"/>
      <c r="Q78" s="83"/>
    </row>
    <row r="79" spans="1:17" s="87" customFormat="1">
      <c r="A79" s="159">
        <v>43</v>
      </c>
      <c r="B79" s="214"/>
      <c r="C79" s="209" t="s">
        <v>179</v>
      </c>
      <c r="D79" s="78"/>
      <c r="E79" s="244"/>
      <c r="F79" s="121">
        <f>F38+F70+F74</f>
        <v>1854.5030000000002</v>
      </c>
      <c r="G79" s="121">
        <f t="shared" ref="G79:I79" si="26">G38+G70+G74</f>
        <v>8306.696664000001</v>
      </c>
      <c r="H79" s="121">
        <f t="shared" si="26"/>
        <v>6773.6291395079998</v>
      </c>
      <c r="I79" s="121">
        <f t="shared" si="26"/>
        <v>9.7440125159664587E-13</v>
      </c>
      <c r="J79" s="167">
        <f t="shared" si="2"/>
        <v>15080.325803508002</v>
      </c>
      <c r="K79" s="81"/>
      <c r="L79" s="80"/>
      <c r="M79" s="80"/>
      <c r="N79" s="83"/>
      <c r="O79" s="215"/>
      <c r="P79" s="80"/>
      <c r="Q79" s="83"/>
    </row>
    <row r="80" spans="1:17">
      <c r="A80" s="159"/>
      <c r="B80" s="197"/>
      <c r="C80" s="192" t="s">
        <v>222</v>
      </c>
      <c r="D80" s="22"/>
      <c r="E80" s="247"/>
      <c r="F80" s="163"/>
      <c r="G80" s="163"/>
      <c r="H80" s="163"/>
      <c r="I80" s="163"/>
      <c r="J80" s="162"/>
      <c r="K80" s="67"/>
      <c r="L80" s="67"/>
      <c r="M80" s="67"/>
      <c r="N80" s="67"/>
      <c r="O80" s="66"/>
      <c r="P80" s="25"/>
      <c r="Q80" s="26"/>
    </row>
    <row r="81" spans="1:17" ht="31.5">
      <c r="A81" s="159">
        <v>44</v>
      </c>
      <c r="B81" s="96" t="s">
        <v>128</v>
      </c>
      <c r="C81" s="93" t="s">
        <v>223</v>
      </c>
      <c r="D81" s="190" t="s">
        <v>257</v>
      </c>
      <c r="E81" s="194" t="s">
        <v>257</v>
      </c>
      <c r="F81" s="64">
        <f t="shared" ref="F81:I81" si="27">(F77-F31)*10.1%*0.8</f>
        <v>2368.2386271999999</v>
      </c>
      <c r="G81" s="64">
        <f t="shared" si="27"/>
        <v>2733.4377735170779</v>
      </c>
      <c r="H81" s="64">
        <f t="shared" si="27"/>
        <v>8305.5150251610467</v>
      </c>
      <c r="I81" s="64">
        <f t="shared" si="27"/>
        <v>9977.2293219198236</v>
      </c>
      <c r="J81" s="162">
        <f t="shared" si="2"/>
        <v>21016.18212059795</v>
      </c>
      <c r="K81" s="66">
        <f>SUM(G81:H81)</f>
        <v>11038.952798678125</v>
      </c>
      <c r="L81" s="68"/>
      <c r="M81" s="68"/>
      <c r="N81" s="68"/>
      <c r="O81" s="69"/>
      <c r="Q81" s="16"/>
    </row>
    <row r="82" spans="1:17" ht="31.5">
      <c r="A82" s="159">
        <v>45</v>
      </c>
      <c r="B82" s="96" t="s">
        <v>127</v>
      </c>
      <c r="C82" s="93" t="s">
        <v>224</v>
      </c>
      <c r="D82" s="190" t="s">
        <v>257</v>
      </c>
      <c r="E82" s="194" t="s">
        <v>257</v>
      </c>
      <c r="F82" s="64">
        <f t="shared" ref="F82:I82" si="28">ROUND((F78-F32-F33)*4.1%*0.8,2)</f>
        <v>147.18</v>
      </c>
      <c r="G82" s="64">
        <f t="shared" si="28"/>
        <v>16.420000000000002</v>
      </c>
      <c r="H82" s="64">
        <f t="shared" si="28"/>
        <v>0</v>
      </c>
      <c r="I82" s="64">
        <f t="shared" si="28"/>
        <v>1290.19</v>
      </c>
      <c r="J82" s="162">
        <f t="shared" si="2"/>
        <v>1306.6100000000001</v>
      </c>
      <c r="K82" s="66">
        <f>SUM(G82:H82)</f>
        <v>16.420000000000002</v>
      </c>
      <c r="L82" s="68"/>
      <c r="M82" s="68"/>
      <c r="N82" s="68"/>
      <c r="O82" s="69"/>
      <c r="Q82" s="16"/>
    </row>
    <row r="83" spans="1:17" ht="31.5">
      <c r="A83" s="159">
        <v>46</v>
      </c>
      <c r="B83" s="96" t="s">
        <v>127</v>
      </c>
      <c r="C83" s="93" t="s">
        <v>225</v>
      </c>
      <c r="D83" s="190" t="s">
        <v>257</v>
      </c>
      <c r="E83" s="194" t="s">
        <v>257</v>
      </c>
      <c r="F83" s="64">
        <f>(F79-106.7-71.812)*4.1%*0.8</f>
        <v>54.972504800000003</v>
      </c>
      <c r="G83" s="64">
        <f>(G79-106.7*1.05*4.16)*4.1%*0.8</f>
        <v>257.17269889919999</v>
      </c>
      <c r="H83" s="64">
        <f>(H79-71.812*4.16*1.05*1.048)*4.1%*0.8</f>
        <v>211.39265218075198</v>
      </c>
      <c r="I83" s="64">
        <f>(I79)*4.1%*0.8</f>
        <v>3.1960361052369984E-14</v>
      </c>
      <c r="J83" s="162">
        <f t="shared" si="2"/>
        <v>468.56535107995199</v>
      </c>
      <c r="K83" s="66">
        <f>SUM(G83:H83)</f>
        <v>468.56535107995194</v>
      </c>
      <c r="L83" s="68"/>
      <c r="M83" s="68"/>
      <c r="N83" s="68"/>
      <c r="O83" s="69"/>
      <c r="Q83" s="16"/>
    </row>
    <row r="84" spans="1:17" ht="31.5">
      <c r="A84" s="159">
        <v>47</v>
      </c>
      <c r="B84" s="197"/>
      <c r="C84" s="203" t="s">
        <v>18</v>
      </c>
      <c r="D84" s="22"/>
      <c r="E84" s="247"/>
      <c r="F84" s="70">
        <f>F86+F87+F88</f>
        <v>38421.071842743884</v>
      </c>
      <c r="G84" s="70">
        <f t="shared" ref="G84:I84" si="29">G86+G87+G88</f>
        <v>45772.646376721605</v>
      </c>
      <c r="H84" s="70">
        <f t="shared" si="29"/>
        <v>118081.56435597167</v>
      </c>
      <c r="I84" s="70">
        <f t="shared" si="29"/>
        <v>175312.59114902045</v>
      </c>
      <c r="J84" s="164">
        <f t="shared" ref="J84:J142" si="30">G84+H84+I84</f>
        <v>339166.80188171368</v>
      </c>
      <c r="K84" s="66">
        <f>SUM(G84:H84)</f>
        <v>163854.21073269326</v>
      </c>
      <c r="L84" s="67"/>
      <c r="M84" s="66" t="e">
        <f>#REF!+#REF!</f>
        <v>#REF!</v>
      </c>
      <c r="N84" s="66" t="e">
        <f>#REF!+#REF!</f>
        <v>#REF!</v>
      </c>
      <c r="O84" s="66"/>
      <c r="P84" s="25"/>
      <c r="Q84" s="26"/>
    </row>
    <row r="85" spans="1:17">
      <c r="A85" s="242"/>
      <c r="B85" s="197"/>
      <c r="C85" s="198" t="s">
        <v>62</v>
      </c>
      <c r="D85" s="22"/>
      <c r="E85" s="247"/>
      <c r="F85" s="70"/>
      <c r="G85" s="70"/>
      <c r="H85" s="70"/>
      <c r="I85" s="70"/>
      <c r="J85" s="162"/>
      <c r="K85" s="67"/>
      <c r="L85" s="67"/>
      <c r="M85" s="66"/>
      <c r="N85" s="66"/>
      <c r="O85" s="66"/>
      <c r="P85" s="25"/>
      <c r="Q85" s="26"/>
    </row>
    <row r="86" spans="1:17" s="87" customFormat="1">
      <c r="A86" s="159">
        <v>48</v>
      </c>
      <c r="B86" s="214"/>
      <c r="C86" s="209" t="s">
        <v>177</v>
      </c>
      <c r="D86" s="78"/>
      <c r="E86" s="244"/>
      <c r="F86" s="121">
        <f t="shared" ref="F86:I88" si="31">F77+F81</f>
        <v>31688.692627200002</v>
      </c>
      <c r="G86" s="121">
        <f t="shared" si="31"/>
        <v>36618.051429242398</v>
      </c>
      <c r="H86" s="121">
        <f t="shared" si="31"/>
        <v>111096.54256428292</v>
      </c>
      <c r="I86" s="121">
        <f t="shared" si="31"/>
        <v>133457.79023676913</v>
      </c>
      <c r="J86" s="167">
        <f t="shared" si="30"/>
        <v>281172.38423029444</v>
      </c>
      <c r="K86" s="82">
        <f>SUM(G86:H86)</f>
        <v>147714.59399352531</v>
      </c>
      <c r="L86" s="81"/>
      <c r="M86" s="82" t="e">
        <f>#REF!+#REF!</f>
        <v>#REF!</v>
      </c>
      <c r="N86" s="82"/>
      <c r="O86" s="82"/>
      <c r="P86" s="80"/>
      <c r="Q86" s="83"/>
    </row>
    <row r="87" spans="1:17" s="87" customFormat="1">
      <c r="A87" s="159">
        <v>49</v>
      </c>
      <c r="B87" s="214"/>
      <c r="C87" s="209" t="s">
        <v>178</v>
      </c>
      <c r="D87" s="78"/>
      <c r="E87" s="244"/>
      <c r="F87" s="121">
        <f t="shared" si="31"/>
        <v>4822.9037107438835</v>
      </c>
      <c r="G87" s="121">
        <f t="shared" si="31"/>
        <v>590.72558458000003</v>
      </c>
      <c r="H87" s="121">
        <f t="shared" si="31"/>
        <v>0</v>
      </c>
      <c r="I87" s="121">
        <f t="shared" si="31"/>
        <v>41854.800912251318</v>
      </c>
      <c r="J87" s="167">
        <f t="shared" si="30"/>
        <v>42445.52649683132</v>
      </c>
      <c r="K87" s="82">
        <f>SUM(G87:H87)</f>
        <v>590.72558458000003</v>
      </c>
      <c r="L87" s="81"/>
      <c r="M87" s="82" t="e">
        <f>#REF!+#REF!</f>
        <v>#REF!</v>
      </c>
      <c r="N87" s="82"/>
      <c r="O87" s="82"/>
      <c r="P87" s="80"/>
      <c r="Q87" s="83"/>
    </row>
    <row r="88" spans="1:17" s="87" customFormat="1">
      <c r="A88" s="159">
        <v>50</v>
      </c>
      <c r="B88" s="214"/>
      <c r="C88" s="209" t="s">
        <v>179</v>
      </c>
      <c r="D88" s="78"/>
      <c r="E88" s="244"/>
      <c r="F88" s="121">
        <f t="shared" si="31"/>
        <v>1909.4755048000002</v>
      </c>
      <c r="G88" s="121">
        <f t="shared" si="31"/>
        <v>8563.8693628992005</v>
      </c>
      <c r="H88" s="121">
        <f t="shared" si="31"/>
        <v>6985.0217916887514</v>
      </c>
      <c r="I88" s="121">
        <f t="shared" si="31"/>
        <v>1.0063616126490158E-12</v>
      </c>
      <c r="J88" s="167">
        <f t="shared" si="30"/>
        <v>15548.891154587955</v>
      </c>
      <c r="K88" s="82">
        <f>SUM(G88:H88)</f>
        <v>15548.891154587953</v>
      </c>
      <c r="L88" s="81"/>
      <c r="M88" s="82" t="e">
        <f>#REF!+#REF!</f>
        <v>#REF!</v>
      </c>
      <c r="N88" s="82"/>
      <c r="O88" s="82"/>
      <c r="P88" s="80"/>
      <c r="Q88" s="83"/>
    </row>
    <row r="89" spans="1:17">
      <c r="A89" s="242"/>
      <c r="B89" s="197"/>
      <c r="C89" s="204" t="s">
        <v>226</v>
      </c>
      <c r="D89" s="22"/>
      <c r="E89" s="247"/>
      <c r="F89" s="163"/>
      <c r="G89" s="163"/>
      <c r="H89" s="163"/>
      <c r="I89" s="163"/>
      <c r="J89" s="162"/>
      <c r="K89" s="67"/>
      <c r="L89" s="67"/>
      <c r="M89" s="67"/>
      <c r="N89" s="67"/>
      <c r="O89" s="66"/>
      <c r="P89" s="25"/>
      <c r="Q89" s="26"/>
    </row>
    <row r="90" spans="1:17" ht="31.5">
      <c r="A90" s="159">
        <v>51</v>
      </c>
      <c r="B90" s="205"/>
      <c r="C90" s="203" t="s">
        <v>23</v>
      </c>
      <c r="D90" s="141"/>
      <c r="E90" s="246"/>
      <c r="F90" s="70">
        <f>F91+F92+F93</f>
        <v>1502.6034165173958</v>
      </c>
      <c r="G90" s="70">
        <f t="shared" ref="G90:I90" si="32">G91+G92+G93</f>
        <v>1765.2567177430983</v>
      </c>
      <c r="H90" s="70">
        <f t="shared" si="32"/>
        <v>4921.7466503658943</v>
      </c>
      <c r="I90" s="70">
        <f t="shared" si="32"/>
        <v>6659.0205668461713</v>
      </c>
      <c r="J90" s="164">
        <f t="shared" si="30"/>
        <v>13346.023934955163</v>
      </c>
      <c r="K90" s="66">
        <f>SUM(G90:H90)</f>
        <v>6687.0033681089926</v>
      </c>
      <c r="L90" s="68"/>
      <c r="M90" s="68"/>
      <c r="N90" s="68"/>
      <c r="O90" s="69"/>
      <c r="Q90" s="16"/>
    </row>
    <row r="91" spans="1:17" ht="27">
      <c r="A91" s="159">
        <v>52</v>
      </c>
      <c r="B91" s="205" t="s">
        <v>227</v>
      </c>
      <c r="C91" s="144" t="s">
        <v>177</v>
      </c>
      <c r="D91" s="190" t="s">
        <v>257</v>
      </c>
      <c r="E91" s="194" t="s">
        <v>257</v>
      </c>
      <c r="F91" s="64">
        <f t="shared" ref="F91:I91" si="33">(F86-F31)*4.2%</f>
        <v>1330.4811503424003</v>
      </c>
      <c r="G91" s="64">
        <f t="shared" si="33"/>
        <v>1535.6507539099607</v>
      </c>
      <c r="H91" s="64">
        <f t="shared" si="33"/>
        <v>4666.0547876998826</v>
      </c>
      <c r="I91" s="64">
        <f t="shared" si="33"/>
        <v>5605.227189944304</v>
      </c>
      <c r="J91" s="162">
        <f t="shared" si="30"/>
        <v>11806.932731554147</v>
      </c>
      <c r="K91" s="148" t="e">
        <f>#REF!*3.563527%</f>
        <v>#REF!</v>
      </c>
      <c r="L91" s="149" t="e">
        <f>#REF!+G91+H91+I91</f>
        <v>#REF!</v>
      </c>
      <c r="M91" s="120">
        <f>SUM(G91:H91)</f>
        <v>6201.7055416098428</v>
      </c>
      <c r="N91" s="68"/>
      <c r="O91" s="69"/>
      <c r="Q91" s="16"/>
    </row>
    <row r="92" spans="1:17">
      <c r="A92" s="159">
        <v>53</v>
      </c>
      <c r="B92" s="206" t="s">
        <v>176</v>
      </c>
      <c r="C92" s="144" t="s">
        <v>178</v>
      </c>
      <c r="D92" s="190" t="s">
        <v>257</v>
      </c>
      <c r="E92" s="194" t="s">
        <v>257</v>
      </c>
      <c r="F92" s="64">
        <f t="shared" ref="F92:I92" si="34">(F87-F21-F32-F33)*2.86398%</f>
        <v>117.16254126619565</v>
      </c>
      <c r="G92" s="64">
        <f t="shared" si="34"/>
        <v>14.810445143581502</v>
      </c>
      <c r="H92" s="64">
        <f t="shared" si="34"/>
        <v>0</v>
      </c>
      <c r="I92" s="64">
        <f t="shared" si="34"/>
        <v>1053.7933769018673</v>
      </c>
      <c r="J92" s="162">
        <f t="shared" si="30"/>
        <v>1068.6038220454489</v>
      </c>
      <c r="K92" s="150">
        <f>SUM(G92:H92)</f>
        <v>14.810445143581502</v>
      </c>
      <c r="L92" s="151">
        <f>117.17/(F87-F21-F32-F33)*100</f>
        <v>2.8641623250350339</v>
      </c>
      <c r="M92" s="69">
        <f>F92+F93</f>
        <v>172.12226617499564</v>
      </c>
      <c r="N92" s="68"/>
      <c r="O92" s="69"/>
      <c r="Q92" s="16"/>
    </row>
    <row r="93" spans="1:17" ht="27">
      <c r="A93" s="159">
        <v>54</v>
      </c>
      <c r="B93" s="205" t="s">
        <v>228</v>
      </c>
      <c r="C93" s="144" t="s">
        <v>179</v>
      </c>
      <c r="D93" s="190" t="s">
        <v>257</v>
      </c>
      <c r="E93" s="194" t="s">
        <v>257</v>
      </c>
      <c r="F93" s="64">
        <f>(F27-42.948)*3.7%*1.0328+F28*3.6%*1.0328+(F29-63.75)*3.3%*1.0328+(F68-71.812)*3.7%*1.0328+F72*4%*1.0328</f>
        <v>54.959724908799998</v>
      </c>
      <c r="G93" s="64">
        <f>(G27-42.948*4.16*1.05)*3.7%*1.0328+G28*3.6%*1.0328+(G29-63.75*4.16*1.05)*3.3%*1.0328</f>
        <v>214.79551868955602</v>
      </c>
      <c r="H93" s="64">
        <f>(H68-71.812*4.16*1.05*1.048)*3.7%*1.0328+H72*4%*1.0328</f>
        <v>255.6918626660113</v>
      </c>
      <c r="I93" s="64">
        <f>(I68)*3.7%*1.0328+I72*4%*1.0328</f>
        <v>3.8845475313974018E-14</v>
      </c>
      <c r="J93" s="162">
        <f t="shared" si="30"/>
        <v>470.48738135556738</v>
      </c>
      <c r="K93" s="150">
        <f>SUM(G93:H93)</f>
        <v>470.48738135556732</v>
      </c>
      <c r="L93" s="151"/>
      <c r="M93" s="68"/>
      <c r="N93" s="68"/>
      <c r="O93" s="69"/>
      <c r="Q93" s="16"/>
    </row>
    <row r="94" spans="1:17" ht="27">
      <c r="A94" s="159">
        <v>55</v>
      </c>
      <c r="B94" s="216" t="s">
        <v>230</v>
      </c>
      <c r="C94" s="203" t="s">
        <v>231</v>
      </c>
      <c r="D94" s="141"/>
      <c r="E94" s="154"/>
      <c r="F94" s="70">
        <f>F95+F96+F97</f>
        <v>149.99994221600002</v>
      </c>
      <c r="G94" s="70">
        <f t="shared" ref="G94:I94" si="35">G95+G96+G97</f>
        <v>180.7121801749264</v>
      </c>
      <c r="H94" s="70">
        <f t="shared" si="35"/>
        <v>471.68743525735874</v>
      </c>
      <c r="I94" s="70">
        <f t="shared" si="35"/>
        <v>681.01003466852262</v>
      </c>
      <c r="J94" s="164">
        <f t="shared" si="30"/>
        <v>1333.4096501008078</v>
      </c>
      <c r="K94" s="150">
        <f>SUM(G94:H94)</f>
        <v>652.39961543228515</v>
      </c>
      <c r="L94" s="151"/>
      <c r="M94" s="68"/>
      <c r="N94" s="68"/>
      <c r="O94" s="69"/>
      <c r="Q94" s="16"/>
    </row>
    <row r="95" spans="1:17">
      <c r="A95" s="159">
        <v>56</v>
      </c>
      <c r="B95" s="205"/>
      <c r="C95" s="144" t="s">
        <v>177</v>
      </c>
      <c r="D95" s="128">
        <v>8.3000000000000007</v>
      </c>
      <c r="E95" s="17"/>
      <c r="F95" s="64">
        <f t="shared" ref="F95:I95" si="36">(F86-F31)*0.4%</f>
        <v>126.71249050880002</v>
      </c>
      <c r="G95" s="64">
        <f t="shared" si="36"/>
        <v>146.25245275332961</v>
      </c>
      <c r="H95" s="64">
        <f t="shared" si="36"/>
        <v>444.38617025713171</v>
      </c>
      <c r="I95" s="64">
        <f t="shared" si="36"/>
        <v>533.83116094707657</v>
      </c>
      <c r="J95" s="162">
        <f t="shared" si="30"/>
        <v>1124.4697839575379</v>
      </c>
      <c r="K95" s="148" t="e">
        <f>#REF!*3.563527%</f>
        <v>#REF!</v>
      </c>
      <c r="L95" s="149" t="e">
        <f>#REF!+G95+H95+I95</f>
        <v>#REF!</v>
      </c>
      <c r="M95" s="120">
        <f>SUM(G95:H95)</f>
        <v>590.63862301046129</v>
      </c>
      <c r="N95" s="68"/>
      <c r="O95" s="69"/>
      <c r="Q95" s="16"/>
    </row>
    <row r="96" spans="1:17">
      <c r="A96" s="159">
        <v>57</v>
      </c>
      <c r="B96" s="206"/>
      <c r="C96" s="144" t="s">
        <v>178</v>
      </c>
      <c r="D96" s="99"/>
      <c r="E96" s="17"/>
      <c r="F96" s="64">
        <f t="shared" ref="F96:I96" si="37">(F87-F21-F32-F33)*0.4%</f>
        <v>16.363597688000006</v>
      </c>
      <c r="G96" s="64">
        <f t="shared" si="37"/>
        <v>2.0685123700000001</v>
      </c>
      <c r="H96" s="64">
        <f t="shared" si="37"/>
        <v>0</v>
      </c>
      <c r="I96" s="64">
        <f t="shared" si="37"/>
        <v>147.178873721446</v>
      </c>
      <c r="J96" s="162">
        <f t="shared" si="30"/>
        <v>149.247386091446</v>
      </c>
      <c r="K96" s="150">
        <f>SUM(G96:H96)</f>
        <v>2.0685123700000001</v>
      </c>
      <c r="L96" s="151"/>
      <c r="M96" s="69">
        <f>F96+F97</f>
        <v>23.287451707200006</v>
      </c>
      <c r="N96" s="68"/>
      <c r="O96" s="69"/>
      <c r="Q96" s="16"/>
    </row>
    <row r="97" spans="1:17">
      <c r="A97" s="159">
        <v>58</v>
      </c>
      <c r="B97" s="205"/>
      <c r="C97" s="144" t="s">
        <v>179</v>
      </c>
      <c r="D97" s="99"/>
      <c r="E97" s="17"/>
      <c r="F97" s="64">
        <f>(F88-106.7-71.812)*0.4%</f>
        <v>6.9238540192000011</v>
      </c>
      <c r="G97" s="64">
        <f>(G88-106.7*4.16*1.05)*0.4%</f>
        <v>32.391215051596802</v>
      </c>
      <c r="H97" s="64">
        <f>(H88-(106.7-71.812)*4.16*1.05*1.048)*0.4%</f>
        <v>27.301265000227005</v>
      </c>
      <c r="I97" s="64">
        <f>(I88)*0.4%</f>
        <v>4.0254464505960631E-15</v>
      </c>
      <c r="J97" s="162">
        <f t="shared" si="30"/>
        <v>59.692480051823814</v>
      </c>
      <c r="K97" s="150">
        <f>SUM(G97:H97)</f>
        <v>59.692480051823807</v>
      </c>
      <c r="L97" s="151"/>
      <c r="M97" s="68"/>
      <c r="N97" s="68"/>
      <c r="O97" s="69"/>
      <c r="Q97" s="16"/>
    </row>
    <row r="98" spans="1:17" s="140" customFormat="1">
      <c r="A98" s="159">
        <v>59</v>
      </c>
      <c r="B98" s="216"/>
      <c r="C98" s="203" t="s">
        <v>232</v>
      </c>
      <c r="D98" s="141"/>
      <c r="E98" s="154"/>
      <c r="F98" s="70">
        <f t="shared" ref="F98:I98" si="38">F99+F100+F101</f>
        <v>1142.0158298206745</v>
      </c>
      <c r="G98" s="70">
        <f t="shared" si="38"/>
        <v>1382.6792904357894</v>
      </c>
      <c r="H98" s="70">
        <f t="shared" si="38"/>
        <v>3572.0024125449572</v>
      </c>
      <c r="I98" s="70">
        <f t="shared" si="38"/>
        <v>5191.9484464514217</v>
      </c>
      <c r="J98" s="164">
        <f t="shared" si="30"/>
        <v>10146.630149432167</v>
      </c>
      <c r="K98" s="150">
        <f>SUM(G98:H98)</f>
        <v>4954.6817029807462</v>
      </c>
      <c r="L98" s="217"/>
      <c r="M98" s="137"/>
      <c r="N98" s="137"/>
      <c r="O98" s="138"/>
      <c r="P98" s="40"/>
      <c r="Q98" s="139"/>
    </row>
    <row r="99" spans="1:17">
      <c r="A99" s="159">
        <v>60</v>
      </c>
      <c r="B99" s="187" t="s">
        <v>233</v>
      </c>
      <c r="C99" s="144" t="s">
        <v>177</v>
      </c>
      <c r="D99" s="128">
        <v>8.3000000000000007</v>
      </c>
      <c r="E99" s="17"/>
      <c r="F99" s="64">
        <f t="shared" ref="F99:I99" si="39">(F86-F31)*3.0217%</f>
        <v>957.21783142610252</v>
      </c>
      <c r="G99" s="64">
        <f t="shared" si="39"/>
        <v>1104.8275912118402</v>
      </c>
      <c r="H99" s="64">
        <f t="shared" si="39"/>
        <v>3357.0042266649371</v>
      </c>
      <c r="I99" s="64">
        <f t="shared" si="39"/>
        <v>4032.6940475844526</v>
      </c>
      <c r="J99" s="162">
        <f t="shared" si="30"/>
        <v>8494.5258654612298</v>
      </c>
      <c r="K99" s="148" t="e">
        <f>#REF!*3.563527%</f>
        <v>#REF!</v>
      </c>
      <c r="L99" s="152">
        <f>957.22/(F86-F31)*100</f>
        <v>3.0217068456515657</v>
      </c>
      <c r="M99" s="120">
        <f>SUM(G99:H99)</f>
        <v>4461.8318178767768</v>
      </c>
      <c r="N99" s="68"/>
      <c r="O99" s="69"/>
      <c r="Q99" s="16"/>
    </row>
    <row r="100" spans="1:17">
      <c r="A100" s="159">
        <v>61</v>
      </c>
      <c r="B100" s="187" t="s">
        <v>149</v>
      </c>
      <c r="C100" s="144" t="s">
        <v>178</v>
      </c>
      <c r="D100" s="99"/>
      <c r="E100" s="17"/>
      <c r="F100" s="64">
        <f>(F87-F21-F32-F33)*3.1506%</f>
        <v>128.88787718953205</v>
      </c>
      <c r="G100" s="64">
        <f>(G87-G21-G32-G33)*3.1506%</f>
        <v>16.292637682304999</v>
      </c>
      <c r="H100" s="64">
        <f>(H87-H21-H32-H33)*3.1506%</f>
        <v>0</v>
      </c>
      <c r="I100" s="64">
        <f>(I87-I21-I32-I33)*3.1506%</f>
        <v>1159.2543988669693</v>
      </c>
      <c r="J100" s="162">
        <f t="shared" si="30"/>
        <v>1175.5470365492743</v>
      </c>
      <c r="K100" s="66">
        <f>SUM(G100:H100)</f>
        <v>16.292637682304999</v>
      </c>
      <c r="L100" s="68"/>
      <c r="M100" s="69">
        <f>F100+F101</f>
        <v>184.79799839457206</v>
      </c>
      <c r="N100" s="68"/>
      <c r="O100" s="69"/>
      <c r="Q100" s="16"/>
    </row>
    <row r="101" spans="1:17">
      <c r="A101" s="159">
        <v>62</v>
      </c>
      <c r="B101" s="205"/>
      <c r="C101" s="144" t="s">
        <v>179</v>
      </c>
      <c r="D101" s="99"/>
      <c r="E101" s="17"/>
      <c r="F101" s="64">
        <f>(F88-106.7-71.812)*3.23%</f>
        <v>55.910121205040014</v>
      </c>
      <c r="G101" s="64">
        <f>(G88-106.7*4.16*1.05)*3.23%</f>
        <v>261.55906154164421</v>
      </c>
      <c r="H101" s="64">
        <f>(H88-71.812*4.16*1.05*1.048)*3.23%</f>
        <v>214.99818588002029</v>
      </c>
      <c r="I101" s="64">
        <f>(I88)*3.23%</f>
        <v>3.250548008856321E-14</v>
      </c>
      <c r="J101" s="162">
        <f t="shared" si="30"/>
        <v>476.55724742166456</v>
      </c>
      <c r="K101" s="66">
        <f>SUM(G101:H101)</f>
        <v>476.5572474216645</v>
      </c>
      <c r="L101" s="68"/>
      <c r="M101" s="68"/>
      <c r="N101" s="68"/>
      <c r="O101" s="69"/>
      <c r="Q101" s="16"/>
    </row>
    <row r="102" spans="1:17" s="140" customFormat="1" ht="31.5">
      <c r="A102" s="159">
        <v>63</v>
      </c>
      <c r="B102" s="196" t="s">
        <v>234</v>
      </c>
      <c r="C102" s="211" t="s">
        <v>243</v>
      </c>
      <c r="D102" s="153"/>
      <c r="E102" s="154"/>
      <c r="F102" s="70">
        <f>F103</f>
        <v>9430.8552104404571</v>
      </c>
      <c r="G102" s="70">
        <f>G103</f>
        <v>4127.7155702159998</v>
      </c>
      <c r="H102" s="70">
        <f>H103</f>
        <v>34729.188780158649</v>
      </c>
      <c r="I102" s="70">
        <f t="shared" ref="I102" si="40">I103</f>
        <v>25665.562033176386</v>
      </c>
      <c r="J102" s="164">
        <f t="shared" si="30"/>
        <v>64522.466383551036</v>
      </c>
      <c r="K102" s="66"/>
      <c r="L102" s="137"/>
      <c r="M102" s="137"/>
      <c r="N102" s="137"/>
      <c r="O102" s="138"/>
      <c r="P102" s="40"/>
      <c r="Q102" s="139"/>
    </row>
    <row r="103" spans="1:17">
      <c r="A103" s="159">
        <v>64</v>
      </c>
      <c r="B103" s="187"/>
      <c r="C103" s="144" t="s">
        <v>177</v>
      </c>
      <c r="D103" s="99"/>
      <c r="E103" s="17"/>
      <c r="F103" s="64">
        <f>57811.14244/6.13</f>
        <v>9430.8552104404571</v>
      </c>
      <c r="G103" s="64">
        <f>F103*6.8%*6.13*1.05</f>
        <v>4127.7155702159998</v>
      </c>
      <c r="H103" s="64">
        <f>F103*54.59244%*6.13*1.05*1.048</f>
        <v>34729.188780158649</v>
      </c>
      <c r="I103" s="64">
        <f>(F103-G103/6.13/1.05-H103/6.13/1.05/1.048)*6.13*1.05*1.048*1.045</f>
        <v>25665.562033176386</v>
      </c>
      <c r="J103" s="162">
        <f t="shared" si="30"/>
        <v>64522.466383551036</v>
      </c>
      <c r="K103" s="66"/>
      <c r="L103" s="68"/>
      <c r="M103" s="68"/>
      <c r="N103" s="68"/>
      <c r="O103" s="69"/>
      <c r="Q103" s="16"/>
    </row>
    <row r="104" spans="1:17" s="140" customFormat="1" ht="47.25">
      <c r="A104" s="159">
        <v>65</v>
      </c>
      <c r="B104" s="196" t="s">
        <v>235</v>
      </c>
      <c r="C104" s="211" t="s">
        <v>236</v>
      </c>
      <c r="D104" s="153"/>
      <c r="E104" s="154"/>
      <c r="F104" s="70">
        <f>F105</f>
        <v>0.14000000000000001</v>
      </c>
      <c r="G104" s="70">
        <f t="shared" ref="G104:I104" si="41">G105</f>
        <v>0</v>
      </c>
      <c r="H104" s="70">
        <f t="shared" si="41"/>
        <v>0</v>
      </c>
      <c r="I104" s="70">
        <f t="shared" si="41"/>
        <v>2.3955091776000002</v>
      </c>
      <c r="J104" s="164">
        <f t="shared" si="30"/>
        <v>2.3955091776000002</v>
      </c>
      <c r="K104" s="66"/>
      <c r="L104" s="137"/>
      <c r="M104" s="137"/>
      <c r="N104" s="137"/>
      <c r="O104" s="138"/>
      <c r="P104" s="40"/>
      <c r="Q104" s="139"/>
    </row>
    <row r="105" spans="1:17">
      <c r="A105" s="159">
        <v>66</v>
      </c>
      <c r="B105" s="206"/>
      <c r="C105" s="144" t="s">
        <v>177</v>
      </c>
      <c r="D105" s="99"/>
      <c r="E105" s="17"/>
      <c r="F105" s="64">
        <v>0.14000000000000001</v>
      </c>
      <c r="G105" s="64">
        <v>0</v>
      </c>
      <c r="H105" s="64">
        <v>0</v>
      </c>
      <c r="I105" s="64">
        <f>(F105-G105/14.88/1.05-H105/14.88/1.05/1.048)*14.88*1.05*1.048*1.045</f>
        <v>2.3955091776000002</v>
      </c>
      <c r="J105" s="162">
        <f t="shared" si="30"/>
        <v>2.3955091776000002</v>
      </c>
      <c r="K105" s="66"/>
      <c r="L105" s="68"/>
      <c r="M105" s="68"/>
      <c r="N105" s="68"/>
      <c r="O105" s="69"/>
      <c r="Q105" s="16"/>
    </row>
    <row r="106" spans="1:17" s="140" customFormat="1">
      <c r="A106" s="159">
        <v>67</v>
      </c>
      <c r="B106" s="207"/>
      <c r="C106" s="203" t="s">
        <v>237</v>
      </c>
      <c r="D106" s="153"/>
      <c r="E106" s="154"/>
      <c r="F106" s="70">
        <f>F108+F109+F110</f>
        <v>12225.614398994527</v>
      </c>
      <c r="G106" s="70">
        <f t="shared" ref="G106:I106" si="42">G108+G109+G110</f>
        <v>7456.3637585698143</v>
      </c>
      <c r="H106" s="70">
        <f t="shared" si="42"/>
        <v>43694.625278326857</v>
      </c>
      <c r="I106" s="70">
        <f t="shared" si="42"/>
        <v>38199.936590320103</v>
      </c>
      <c r="J106" s="164">
        <f t="shared" si="30"/>
        <v>89350.925627216784</v>
      </c>
      <c r="K106" s="66"/>
      <c r="L106" s="137"/>
      <c r="M106" s="137"/>
      <c r="N106" s="137"/>
      <c r="O106" s="138"/>
      <c r="P106" s="40"/>
      <c r="Q106" s="139"/>
    </row>
    <row r="107" spans="1:17" s="140" customFormat="1">
      <c r="A107" s="159"/>
      <c r="B107" s="207"/>
      <c r="C107" s="198" t="s">
        <v>62</v>
      </c>
      <c r="D107" s="153"/>
      <c r="E107" s="154"/>
      <c r="F107" s="70"/>
      <c r="G107" s="70"/>
      <c r="H107" s="70"/>
      <c r="I107" s="70"/>
      <c r="J107" s="162"/>
      <c r="K107" s="66"/>
      <c r="L107" s="137"/>
      <c r="M107" s="137"/>
      <c r="N107" s="137"/>
      <c r="O107" s="138"/>
      <c r="P107" s="40"/>
      <c r="Q107" s="139"/>
    </row>
    <row r="108" spans="1:17" s="84" customFormat="1">
      <c r="A108" s="234">
        <v>68</v>
      </c>
      <c r="B108" s="213"/>
      <c r="C108" s="209" t="s">
        <v>177</v>
      </c>
      <c r="D108" s="115"/>
      <c r="E108" s="116"/>
      <c r="F108" s="121">
        <f t="shared" ref="F108:I108" si="43">F91+F95+F99+F103+F105</f>
        <v>11845.406682717759</v>
      </c>
      <c r="G108" s="121">
        <f>G91+G95+G99+G103+G105</f>
        <v>6914.4463680911304</v>
      </c>
      <c r="H108" s="121">
        <f t="shared" si="43"/>
        <v>43196.633964780602</v>
      </c>
      <c r="I108" s="121">
        <f t="shared" si="43"/>
        <v>35839.709940829824</v>
      </c>
      <c r="J108" s="167">
        <f t="shared" si="30"/>
        <v>85950.790273701554</v>
      </c>
      <c r="K108" s="82"/>
      <c r="L108" s="81"/>
      <c r="M108" s="81"/>
      <c r="N108" s="81"/>
      <c r="O108" s="82"/>
      <c r="P108" s="80"/>
      <c r="Q108" s="83"/>
    </row>
    <row r="109" spans="1:17" s="84" customFormat="1">
      <c r="A109" s="234">
        <v>69</v>
      </c>
      <c r="B109" s="213"/>
      <c r="C109" s="209" t="s">
        <v>178</v>
      </c>
      <c r="D109" s="115"/>
      <c r="E109" s="116"/>
      <c r="F109" s="121">
        <f t="shared" ref="F109:I110" si="44">F92+F96+F100</f>
        <v>262.41401614372774</v>
      </c>
      <c r="G109" s="121">
        <f t="shared" si="44"/>
        <v>33.171595195886496</v>
      </c>
      <c r="H109" s="121">
        <f t="shared" si="44"/>
        <v>0</v>
      </c>
      <c r="I109" s="121">
        <f t="shared" si="44"/>
        <v>2360.2266494902824</v>
      </c>
      <c r="J109" s="167">
        <f t="shared" si="30"/>
        <v>2393.3982446861687</v>
      </c>
      <c r="K109" s="82"/>
      <c r="L109" s="81"/>
      <c r="M109" s="81"/>
      <c r="N109" s="81"/>
      <c r="O109" s="82"/>
      <c r="P109" s="80"/>
      <c r="Q109" s="83"/>
    </row>
    <row r="110" spans="1:17" s="84" customFormat="1">
      <c r="A110" s="234">
        <v>70</v>
      </c>
      <c r="B110" s="213"/>
      <c r="C110" s="209" t="s">
        <v>179</v>
      </c>
      <c r="D110" s="115"/>
      <c r="E110" s="116"/>
      <c r="F110" s="121">
        <f t="shared" si="44"/>
        <v>117.79370013304001</v>
      </c>
      <c r="G110" s="121">
        <f t="shared" si="44"/>
        <v>508.74579528279702</v>
      </c>
      <c r="H110" s="121">
        <f t="shared" si="44"/>
        <v>497.9913135462586</v>
      </c>
      <c r="I110" s="121">
        <f t="shared" si="44"/>
        <v>7.5376401853133292E-14</v>
      </c>
      <c r="J110" s="167">
        <f t="shared" si="30"/>
        <v>1006.7371088290557</v>
      </c>
      <c r="K110" s="82"/>
      <c r="L110" s="81"/>
      <c r="M110" s="81"/>
      <c r="N110" s="81"/>
      <c r="O110" s="82"/>
      <c r="P110" s="80"/>
      <c r="Q110" s="83"/>
    </row>
    <row r="111" spans="1:17" s="140" customFormat="1">
      <c r="A111" s="159">
        <v>71</v>
      </c>
      <c r="B111" s="207"/>
      <c r="C111" s="203" t="s">
        <v>238</v>
      </c>
      <c r="D111" s="153"/>
      <c r="E111" s="154"/>
      <c r="F111" s="70">
        <f>F113+F114+F115</f>
        <v>50646.686241738411</v>
      </c>
      <c r="G111" s="70">
        <f t="shared" ref="G111:I111" si="45">G113+G114+G115</f>
        <v>53229.010135291406</v>
      </c>
      <c r="H111" s="70">
        <f t="shared" si="45"/>
        <v>161776.18963429853</v>
      </c>
      <c r="I111" s="70">
        <f t="shared" si="45"/>
        <v>213512.52773934056</v>
      </c>
      <c r="J111" s="164">
        <f t="shared" si="30"/>
        <v>428517.72750893049</v>
      </c>
      <c r="K111" s="66"/>
      <c r="L111" s="137"/>
      <c r="M111" s="137"/>
      <c r="N111" s="137"/>
      <c r="O111" s="138"/>
      <c r="P111" s="40"/>
      <c r="Q111" s="139"/>
    </row>
    <row r="112" spans="1:17" s="140" customFormat="1">
      <c r="A112" s="159"/>
      <c r="B112" s="207"/>
      <c r="C112" s="198" t="s">
        <v>62</v>
      </c>
      <c r="D112" s="153"/>
      <c r="E112" s="154"/>
      <c r="F112" s="70"/>
      <c r="G112" s="70"/>
      <c r="H112" s="70"/>
      <c r="I112" s="70"/>
      <c r="J112" s="162"/>
      <c r="K112" s="66"/>
      <c r="L112" s="137"/>
      <c r="M112" s="137"/>
      <c r="N112" s="137"/>
      <c r="O112" s="138"/>
      <c r="P112" s="40"/>
      <c r="Q112" s="139"/>
    </row>
    <row r="113" spans="1:17" s="87" customFormat="1">
      <c r="A113" s="159">
        <v>72</v>
      </c>
      <c r="B113" s="206"/>
      <c r="C113" s="209" t="s">
        <v>177</v>
      </c>
      <c r="D113" s="99"/>
      <c r="E113" s="17"/>
      <c r="F113" s="121">
        <f t="shared" ref="F113:I115" si="46">F108+F86</f>
        <v>43534.099309917758</v>
      </c>
      <c r="G113" s="121">
        <f t="shared" si="46"/>
        <v>43532.497797333526</v>
      </c>
      <c r="H113" s="121">
        <f t="shared" si="46"/>
        <v>154293.17652906352</v>
      </c>
      <c r="I113" s="121">
        <f t="shared" si="46"/>
        <v>169297.50017759897</v>
      </c>
      <c r="J113" s="167">
        <f t="shared" si="30"/>
        <v>367123.17450399604</v>
      </c>
      <c r="K113" s="82"/>
      <c r="L113" s="68"/>
      <c r="M113" s="68"/>
      <c r="N113" s="68"/>
      <c r="O113" s="69"/>
      <c r="P113" s="3"/>
      <c r="Q113" s="16"/>
    </row>
    <row r="114" spans="1:17" s="87" customFormat="1">
      <c r="A114" s="159">
        <v>73</v>
      </c>
      <c r="B114" s="206"/>
      <c r="C114" s="209" t="s">
        <v>178</v>
      </c>
      <c r="D114" s="99"/>
      <c r="E114" s="17"/>
      <c r="F114" s="121">
        <f t="shared" si="46"/>
        <v>5085.3177268876116</v>
      </c>
      <c r="G114" s="121">
        <f t="shared" si="46"/>
        <v>623.89717977588657</v>
      </c>
      <c r="H114" s="121">
        <f t="shared" si="46"/>
        <v>0</v>
      </c>
      <c r="I114" s="121">
        <f t="shared" si="46"/>
        <v>44215.027561741597</v>
      </c>
      <c r="J114" s="167">
        <f t="shared" si="30"/>
        <v>44838.924741517483</v>
      </c>
      <c r="K114" s="82"/>
      <c r="L114" s="68"/>
      <c r="M114" s="68"/>
      <c r="N114" s="68"/>
      <c r="O114" s="69"/>
      <c r="P114" s="3"/>
      <c r="Q114" s="16"/>
    </row>
    <row r="115" spans="1:17" s="87" customFormat="1">
      <c r="A115" s="159">
        <v>74</v>
      </c>
      <c r="B115" s="206"/>
      <c r="C115" s="209" t="s">
        <v>179</v>
      </c>
      <c r="D115" s="99"/>
      <c r="E115" s="17"/>
      <c r="F115" s="121">
        <f t="shared" si="46"/>
        <v>2027.2692049330401</v>
      </c>
      <c r="G115" s="121">
        <f t="shared" si="46"/>
        <v>9072.6151581819977</v>
      </c>
      <c r="H115" s="121">
        <f t="shared" si="46"/>
        <v>7483.0131052350098</v>
      </c>
      <c r="I115" s="121">
        <f t="shared" si="46"/>
        <v>1.0817380145021491E-12</v>
      </c>
      <c r="J115" s="167">
        <f t="shared" si="30"/>
        <v>16555.628263417006</v>
      </c>
      <c r="K115" s="82"/>
      <c r="L115" s="68"/>
      <c r="M115" s="68"/>
      <c r="N115" s="68"/>
      <c r="O115" s="69"/>
      <c r="P115" s="3"/>
      <c r="Q115" s="16"/>
    </row>
    <row r="116" spans="1:17" s="87" customFormat="1">
      <c r="A116" s="159"/>
      <c r="B116" s="206"/>
      <c r="C116" s="241" t="s">
        <v>255</v>
      </c>
      <c r="D116" s="99"/>
      <c r="E116" s="17"/>
      <c r="F116" s="121"/>
      <c r="G116" s="121"/>
      <c r="H116" s="121"/>
      <c r="I116" s="121"/>
      <c r="J116" s="167"/>
      <c r="K116" s="82"/>
      <c r="L116" s="68"/>
      <c r="M116" s="68"/>
      <c r="N116" s="68"/>
      <c r="O116" s="69"/>
      <c r="P116" s="3"/>
      <c r="Q116" s="16"/>
    </row>
    <row r="117" spans="1:17" s="140" customFormat="1">
      <c r="A117" s="159">
        <v>75</v>
      </c>
      <c r="B117" s="207"/>
      <c r="C117" s="211" t="s">
        <v>239</v>
      </c>
      <c r="D117" s="153"/>
      <c r="E117" s="154"/>
      <c r="F117" s="70">
        <f>F118+F119+F120</f>
        <v>1808.5605042016807</v>
      </c>
      <c r="G117" s="70">
        <f t="shared" ref="G117:I117" si="47">G118+G119+G120</f>
        <v>8242.8762099999985</v>
      </c>
      <c r="H117" s="70">
        <f t="shared" si="47"/>
        <v>0</v>
      </c>
      <c r="I117" s="70">
        <f t="shared" si="47"/>
        <v>0</v>
      </c>
      <c r="J117" s="164">
        <f t="shared" si="30"/>
        <v>8242.8762099999985</v>
      </c>
      <c r="K117" s="66"/>
      <c r="L117" s="137"/>
      <c r="M117" s="137"/>
      <c r="N117" s="137"/>
      <c r="O117" s="138"/>
      <c r="P117" s="40"/>
      <c r="Q117" s="139"/>
    </row>
    <row r="118" spans="1:17">
      <c r="A118" s="159">
        <v>76</v>
      </c>
      <c r="B118" s="206"/>
      <c r="C118" s="202" t="s">
        <v>177</v>
      </c>
      <c r="D118" s="99"/>
      <c r="E118" s="17"/>
      <c r="F118" s="64">
        <f>1621.337/1.19</f>
        <v>1362.4680672268908</v>
      </c>
      <c r="G118" s="64">
        <f>F118*3.83*1.19</f>
        <v>6209.7207099999996</v>
      </c>
      <c r="H118" s="64">
        <v>0</v>
      </c>
      <c r="I118" s="64">
        <v>0</v>
      </c>
      <c r="J118" s="162">
        <f t="shared" si="30"/>
        <v>6209.7207099999996</v>
      </c>
      <c r="K118" s="66"/>
      <c r="L118" s="68"/>
      <c r="M118" s="68"/>
      <c r="N118" s="68"/>
      <c r="O118" s="69"/>
      <c r="Q118" s="16"/>
    </row>
    <row r="119" spans="1:17">
      <c r="A119" s="159">
        <v>77</v>
      </c>
      <c r="B119" s="206"/>
      <c r="C119" s="202" t="s">
        <v>178</v>
      </c>
      <c r="D119" s="99"/>
      <c r="E119" s="17"/>
      <c r="F119" s="64">
        <f>348.174/1.19</f>
        <v>292.5831932773109</v>
      </c>
      <c r="G119" s="64">
        <f>F119*3.83*1.19</f>
        <v>1333.5064199999999</v>
      </c>
      <c r="H119" s="64">
        <v>0</v>
      </c>
      <c r="I119" s="64">
        <v>0</v>
      </c>
      <c r="J119" s="162">
        <f t="shared" si="30"/>
        <v>1333.5064199999999</v>
      </c>
      <c r="K119" s="66"/>
      <c r="L119" s="68"/>
      <c r="M119" s="68"/>
      <c r="N119" s="68"/>
      <c r="O119" s="69"/>
      <c r="Q119" s="16"/>
    </row>
    <row r="120" spans="1:17">
      <c r="A120" s="159">
        <v>78</v>
      </c>
      <c r="B120" s="206"/>
      <c r="C120" s="202" t="s">
        <v>179</v>
      </c>
      <c r="D120" s="99"/>
      <c r="E120" s="17"/>
      <c r="F120" s="64">
        <f>182.676/1.19</f>
        <v>153.50924369747898</v>
      </c>
      <c r="G120" s="64">
        <f>F120*3.83*1.19</f>
        <v>699.64907999999991</v>
      </c>
      <c r="H120" s="64">
        <v>0</v>
      </c>
      <c r="I120" s="64">
        <v>0</v>
      </c>
      <c r="J120" s="162">
        <f t="shared" si="30"/>
        <v>699.64907999999991</v>
      </c>
      <c r="K120" s="66"/>
      <c r="L120" s="68"/>
      <c r="M120" s="68"/>
      <c r="N120" s="68"/>
      <c r="O120" s="69"/>
      <c r="Q120" s="16"/>
    </row>
    <row r="121" spans="1:17" s="140" customFormat="1">
      <c r="A121" s="159"/>
      <c r="B121" s="207"/>
      <c r="C121" s="203" t="s">
        <v>256</v>
      </c>
      <c r="D121" s="153"/>
      <c r="E121" s="154"/>
      <c r="F121" s="70">
        <f>F123+F124+F125</f>
        <v>52455.246745940087</v>
      </c>
      <c r="G121" s="70">
        <f t="shared" ref="G121:I121" si="48">G123+G124+G125</f>
        <v>61471.886345291408</v>
      </c>
      <c r="H121" s="70">
        <f t="shared" si="48"/>
        <v>161776.18963429853</v>
      </c>
      <c r="I121" s="70">
        <f t="shared" si="48"/>
        <v>213512.52773934056</v>
      </c>
      <c r="J121" s="164">
        <f t="shared" si="30"/>
        <v>436760.60371893051</v>
      </c>
      <c r="K121" s="66"/>
      <c r="L121" s="138">
        <f>F111+F117</f>
        <v>52455.246745940094</v>
      </c>
      <c r="M121" s="137"/>
      <c r="N121" s="137"/>
      <c r="O121" s="138"/>
      <c r="P121" s="40"/>
      <c r="Q121" s="139"/>
    </row>
    <row r="122" spans="1:17" s="140" customFormat="1">
      <c r="A122" s="159"/>
      <c r="B122" s="207"/>
      <c r="C122" s="198" t="s">
        <v>62</v>
      </c>
      <c r="D122" s="153"/>
      <c r="E122" s="154"/>
      <c r="F122" s="70"/>
      <c r="G122" s="70"/>
      <c r="H122" s="70"/>
      <c r="I122" s="70"/>
      <c r="J122" s="162"/>
      <c r="K122" s="66"/>
      <c r="L122" s="137"/>
      <c r="M122" s="137"/>
      <c r="N122" s="137"/>
      <c r="O122" s="138"/>
      <c r="P122" s="40"/>
      <c r="Q122" s="139"/>
    </row>
    <row r="123" spans="1:17" s="84" customFormat="1">
      <c r="A123" s="234"/>
      <c r="B123" s="213"/>
      <c r="C123" s="209" t="s">
        <v>177</v>
      </c>
      <c r="D123" s="115"/>
      <c r="E123" s="116"/>
      <c r="F123" s="121">
        <f>F113+F118</f>
        <v>44896.567377144645</v>
      </c>
      <c r="G123" s="121">
        <f t="shared" ref="G123:I123" si="49">G113+G118</f>
        <v>49742.218507333528</v>
      </c>
      <c r="H123" s="121">
        <f t="shared" si="49"/>
        <v>154293.17652906352</v>
      </c>
      <c r="I123" s="121">
        <f t="shared" si="49"/>
        <v>169297.50017759897</v>
      </c>
      <c r="J123" s="167">
        <f t="shared" si="30"/>
        <v>373332.895213996</v>
      </c>
      <c r="K123" s="82"/>
      <c r="L123" s="81"/>
      <c r="M123" s="81"/>
      <c r="N123" s="81"/>
      <c r="O123" s="82"/>
      <c r="P123" s="80"/>
      <c r="Q123" s="83"/>
    </row>
    <row r="124" spans="1:17" s="84" customFormat="1">
      <c r="A124" s="234"/>
      <c r="B124" s="213"/>
      <c r="C124" s="209" t="s">
        <v>178</v>
      </c>
      <c r="D124" s="115"/>
      <c r="E124" s="116"/>
      <c r="F124" s="121">
        <f>F114+F119</f>
        <v>5377.9009201649224</v>
      </c>
      <c r="G124" s="121">
        <f t="shared" ref="G124:I124" si="50">G114+G119</f>
        <v>1957.4035997758865</v>
      </c>
      <c r="H124" s="121">
        <f t="shared" si="50"/>
        <v>0</v>
      </c>
      <c r="I124" s="121">
        <f t="shared" si="50"/>
        <v>44215.027561741597</v>
      </c>
      <c r="J124" s="167">
        <f t="shared" si="30"/>
        <v>46172.431161517481</v>
      </c>
      <c r="K124" s="82"/>
      <c r="L124" s="81"/>
      <c r="M124" s="81"/>
      <c r="N124" s="81"/>
      <c r="O124" s="82"/>
      <c r="P124" s="80"/>
      <c r="Q124" s="83"/>
    </row>
    <row r="125" spans="1:17" s="84" customFormat="1">
      <c r="A125" s="234"/>
      <c r="B125" s="213"/>
      <c r="C125" s="209" t="s">
        <v>179</v>
      </c>
      <c r="D125" s="115"/>
      <c r="E125" s="116"/>
      <c r="F125" s="121">
        <f>F115+F120</f>
        <v>2180.7784486305191</v>
      </c>
      <c r="G125" s="121">
        <f t="shared" ref="G125:I125" si="51">G115+G120</f>
        <v>9772.2642381819969</v>
      </c>
      <c r="H125" s="121">
        <f t="shared" si="51"/>
        <v>7483.0131052350098</v>
      </c>
      <c r="I125" s="121">
        <f t="shared" si="51"/>
        <v>1.0817380145021491E-12</v>
      </c>
      <c r="J125" s="167">
        <f t="shared" si="30"/>
        <v>17255.277343417009</v>
      </c>
      <c r="K125" s="82"/>
      <c r="L125" s="81"/>
      <c r="M125" s="81"/>
      <c r="N125" s="81"/>
      <c r="O125" s="82"/>
      <c r="P125" s="80"/>
      <c r="Q125" s="83"/>
    </row>
    <row r="126" spans="1:17" s="140" customFormat="1">
      <c r="A126" s="159">
        <v>79</v>
      </c>
      <c r="B126" s="207"/>
      <c r="C126" s="203" t="s">
        <v>240</v>
      </c>
      <c r="D126" s="153"/>
      <c r="E126" s="154"/>
      <c r="F126" s="70">
        <f>F128+F129+F130</f>
        <v>786.82870118910125</v>
      </c>
      <c r="G126" s="70">
        <f t="shared" ref="G126:I126" si="52">G128+G129+G130</f>
        <v>922.07829517937103</v>
      </c>
      <c r="H126" s="70">
        <f t="shared" si="52"/>
        <v>2426.6428445144779</v>
      </c>
      <c r="I126" s="70">
        <f t="shared" si="52"/>
        <v>3202.687916090108</v>
      </c>
      <c r="J126" s="164">
        <f t="shared" si="30"/>
        <v>6551.4090557839572</v>
      </c>
      <c r="K126" s="138"/>
      <c r="L126" s="137"/>
      <c r="M126" s="137"/>
      <c r="N126" s="137"/>
      <c r="O126" s="138"/>
      <c r="P126" s="40"/>
      <c r="Q126" s="139"/>
    </row>
    <row r="127" spans="1:17" s="87" customFormat="1">
      <c r="A127" s="159"/>
      <c r="B127" s="206"/>
      <c r="C127" s="200" t="s">
        <v>62</v>
      </c>
      <c r="D127" s="99"/>
      <c r="E127" s="17"/>
      <c r="F127" s="64"/>
      <c r="G127" s="64"/>
      <c r="H127" s="64"/>
      <c r="I127" s="64"/>
      <c r="J127" s="162"/>
      <c r="K127" s="69"/>
      <c r="L127" s="68"/>
      <c r="M127" s="68"/>
      <c r="N127" s="68"/>
      <c r="O127" s="69"/>
      <c r="P127" s="3"/>
      <c r="Q127" s="16"/>
    </row>
    <row r="128" spans="1:17" s="84" customFormat="1">
      <c r="A128" s="234">
        <v>80</v>
      </c>
      <c r="B128" s="213"/>
      <c r="C128" s="209" t="s">
        <v>177</v>
      </c>
      <c r="D128" s="115"/>
      <c r="E128" s="116"/>
      <c r="F128" s="121">
        <f>F123*1.5%</f>
        <v>673.44851065716966</v>
      </c>
      <c r="G128" s="121">
        <f t="shared" ref="G128:I128" si="53">G123*1.5%</f>
        <v>746.13327761000289</v>
      </c>
      <c r="H128" s="121">
        <f t="shared" si="53"/>
        <v>2314.3976479359526</v>
      </c>
      <c r="I128" s="121">
        <f t="shared" si="53"/>
        <v>2539.4625026639842</v>
      </c>
      <c r="J128" s="167">
        <f t="shared" si="30"/>
        <v>5599.9934282099402</v>
      </c>
      <c r="K128" s="82"/>
      <c r="L128" s="81"/>
      <c r="M128" s="81"/>
      <c r="N128" s="81"/>
      <c r="O128" s="82"/>
      <c r="P128" s="80"/>
      <c r="Q128" s="83"/>
    </row>
    <row r="129" spans="1:17" s="84" customFormat="1">
      <c r="A129" s="234">
        <v>81</v>
      </c>
      <c r="B129" s="218"/>
      <c r="C129" s="209" t="s">
        <v>178</v>
      </c>
      <c r="D129" s="115"/>
      <c r="E129" s="219"/>
      <c r="F129" s="121">
        <f>F124*1.5%</f>
        <v>80.668513802473839</v>
      </c>
      <c r="G129" s="121">
        <f t="shared" ref="G129:I129" si="54">G124*1.5%</f>
        <v>29.361053996638297</v>
      </c>
      <c r="H129" s="121">
        <f t="shared" si="54"/>
        <v>0</v>
      </c>
      <c r="I129" s="121">
        <f t="shared" si="54"/>
        <v>663.22541342612396</v>
      </c>
      <c r="J129" s="167">
        <f t="shared" si="30"/>
        <v>692.58646742276221</v>
      </c>
      <c r="K129" s="82">
        <f>SUM(G129:H129)</f>
        <v>29.361053996638297</v>
      </c>
      <c r="L129" s="81"/>
      <c r="M129" s="81"/>
      <c r="N129" s="81"/>
      <c r="O129" s="82"/>
      <c r="P129" s="80"/>
      <c r="Q129" s="83"/>
    </row>
    <row r="130" spans="1:17" s="84" customFormat="1">
      <c r="A130" s="234">
        <v>82</v>
      </c>
      <c r="B130" s="220"/>
      <c r="C130" s="209" t="s">
        <v>179</v>
      </c>
      <c r="D130" s="221"/>
      <c r="E130" s="222"/>
      <c r="F130" s="121">
        <f>F125*1.5%</f>
        <v>32.711676729457785</v>
      </c>
      <c r="G130" s="121">
        <f t="shared" ref="G130:I130" si="55">G125*1.5%</f>
        <v>146.58396357272994</v>
      </c>
      <c r="H130" s="121">
        <f t="shared" si="55"/>
        <v>112.24519657852514</v>
      </c>
      <c r="I130" s="121">
        <f t="shared" si="55"/>
        <v>1.6226070217532236E-14</v>
      </c>
      <c r="J130" s="167">
        <f t="shared" si="30"/>
        <v>258.82916015125511</v>
      </c>
      <c r="K130" s="223">
        <v>62217.579999999987</v>
      </c>
      <c r="L130" s="222">
        <v>1.9969275564880543E-2</v>
      </c>
      <c r="M130" s="224">
        <f>SUM(G130:H130)</f>
        <v>258.82916015125511</v>
      </c>
      <c r="N130" s="81"/>
      <c r="O130" s="82"/>
      <c r="P130" s="80"/>
      <c r="Q130" s="83"/>
    </row>
    <row r="131" spans="1:17" s="140" customFormat="1">
      <c r="A131" s="159">
        <v>83</v>
      </c>
      <c r="B131" s="155"/>
      <c r="C131" s="208" t="s">
        <v>21</v>
      </c>
      <c r="D131" s="156"/>
      <c r="E131" s="157"/>
      <c r="F131" s="70">
        <f>F132+F133+F134</f>
        <v>53242.07544712918</v>
      </c>
      <c r="G131" s="70">
        <f t="shared" ref="G131:I131" si="56">G132+G133+G134</f>
        <v>62393.964640470782</v>
      </c>
      <c r="H131" s="70">
        <f t="shared" si="56"/>
        <v>164202.83247881301</v>
      </c>
      <c r="I131" s="70">
        <f t="shared" si="56"/>
        <v>216715.21565543069</v>
      </c>
      <c r="J131" s="164">
        <f t="shared" si="30"/>
        <v>443312.0127747145</v>
      </c>
      <c r="K131" s="158">
        <v>13073.320347199999</v>
      </c>
      <c r="L131" s="157">
        <v>1.5224135469351334E-2</v>
      </c>
      <c r="M131" s="137"/>
      <c r="N131" s="137"/>
      <c r="O131" s="138"/>
      <c r="P131" s="40"/>
      <c r="Q131" s="139"/>
    </row>
    <row r="132" spans="1:17" s="84" customFormat="1">
      <c r="A132" s="234">
        <v>84</v>
      </c>
      <c r="B132" s="213"/>
      <c r="C132" s="209" t="s">
        <v>177</v>
      </c>
      <c r="D132" s="115"/>
      <c r="E132" s="116"/>
      <c r="F132" s="121">
        <f>F123+F128</f>
        <v>45570.015887801812</v>
      </c>
      <c r="G132" s="121">
        <f t="shared" ref="G132:I132" si="57">G123+G128</f>
        <v>50488.35178494353</v>
      </c>
      <c r="H132" s="121">
        <f t="shared" si="57"/>
        <v>156607.57417699948</v>
      </c>
      <c r="I132" s="121">
        <f t="shared" si="57"/>
        <v>171836.96268026295</v>
      </c>
      <c r="J132" s="167">
        <f t="shared" si="30"/>
        <v>378932.88864220597</v>
      </c>
      <c r="K132" s="82"/>
      <c r="L132" s="81"/>
      <c r="M132" s="81"/>
      <c r="N132" s="81"/>
      <c r="O132" s="82"/>
      <c r="P132" s="80"/>
      <c r="Q132" s="83"/>
    </row>
    <row r="133" spans="1:17" s="84" customFormat="1">
      <c r="A133" s="234">
        <v>85</v>
      </c>
      <c r="B133" s="218"/>
      <c r="C133" s="209" t="s">
        <v>178</v>
      </c>
      <c r="D133" s="115"/>
      <c r="E133" s="219"/>
      <c r="F133" s="121">
        <f>F124+F129</f>
        <v>5458.5694339673964</v>
      </c>
      <c r="G133" s="121">
        <f t="shared" ref="G133:I133" si="58">G124+G129</f>
        <v>1986.7646537725248</v>
      </c>
      <c r="H133" s="121">
        <f t="shared" si="58"/>
        <v>0</v>
      </c>
      <c r="I133" s="121">
        <f t="shared" si="58"/>
        <v>44878.252975167721</v>
      </c>
      <c r="J133" s="167">
        <f t="shared" si="30"/>
        <v>46865.017628940244</v>
      </c>
      <c r="K133" s="82">
        <f>SUM(G133:H133)</f>
        <v>1986.7646537725248</v>
      </c>
      <c r="L133" s="81"/>
      <c r="M133" s="81"/>
      <c r="N133" s="81"/>
      <c r="O133" s="82"/>
      <c r="P133" s="80"/>
      <c r="Q133" s="83"/>
    </row>
    <row r="134" spans="1:17" s="84" customFormat="1">
      <c r="A134" s="234">
        <v>86</v>
      </c>
      <c r="B134" s="220"/>
      <c r="C134" s="209" t="s">
        <v>179</v>
      </c>
      <c r="D134" s="221"/>
      <c r="E134" s="222"/>
      <c r="F134" s="121">
        <f>F125+F130</f>
        <v>2213.4901253599769</v>
      </c>
      <c r="G134" s="121">
        <f t="shared" ref="G134:I134" si="59">G125+G130</f>
        <v>9918.8482017547267</v>
      </c>
      <c r="H134" s="121">
        <f t="shared" si="59"/>
        <v>7595.2583018135347</v>
      </c>
      <c r="I134" s="121">
        <f t="shared" si="59"/>
        <v>1.0979640847196814E-12</v>
      </c>
      <c r="J134" s="167">
        <f t="shared" si="30"/>
        <v>17514.106503568262</v>
      </c>
      <c r="K134" s="223">
        <v>62217.579999999987</v>
      </c>
      <c r="L134" s="222">
        <v>1.9969275564880543E-2</v>
      </c>
      <c r="M134" s="224">
        <f>SUM(G134:H134)</f>
        <v>17514.106503568262</v>
      </c>
      <c r="N134" s="81"/>
      <c r="O134" s="82"/>
      <c r="P134" s="80"/>
      <c r="Q134" s="83"/>
    </row>
    <row r="135" spans="1:17" s="140" customFormat="1">
      <c r="A135" s="159">
        <v>87</v>
      </c>
      <c r="B135" s="155"/>
      <c r="C135" s="208" t="s">
        <v>246</v>
      </c>
      <c r="D135" s="156"/>
      <c r="E135" s="157"/>
      <c r="F135" s="70">
        <f>F136+F137+F138</f>
        <v>9583.5735804832548</v>
      </c>
      <c r="G135" s="70">
        <f t="shared" ref="G135:I135" si="60">G136+G137+G138</f>
        <v>12478.792928094157</v>
      </c>
      <c r="H135" s="70">
        <f t="shared" si="60"/>
        <v>32840.5664957626</v>
      </c>
      <c r="I135" s="70">
        <f t="shared" si="60"/>
        <v>43343.043131086131</v>
      </c>
      <c r="J135" s="164">
        <f t="shared" si="30"/>
        <v>88662.402554942892</v>
      </c>
      <c r="K135" s="158">
        <v>13073.320347199999</v>
      </c>
      <c r="L135" s="157">
        <v>1.5224135469351334E-2</v>
      </c>
      <c r="M135" s="137"/>
      <c r="N135" s="137"/>
      <c r="O135" s="138"/>
      <c r="P135" s="40"/>
      <c r="Q135" s="139"/>
    </row>
    <row r="136" spans="1:17" s="84" customFormat="1">
      <c r="A136" s="234">
        <v>88</v>
      </c>
      <c r="B136" s="213"/>
      <c r="C136" s="209" t="s">
        <v>177</v>
      </c>
      <c r="D136" s="115"/>
      <c r="E136" s="116"/>
      <c r="F136" s="121">
        <f>F132*18%</f>
        <v>8202.6028598043267</v>
      </c>
      <c r="G136" s="121">
        <f>G132*20%</f>
        <v>10097.670356988707</v>
      </c>
      <c r="H136" s="121">
        <f t="shared" ref="H136:I136" si="61">H132*20%</f>
        <v>31321.514835399896</v>
      </c>
      <c r="I136" s="121">
        <f t="shared" si="61"/>
        <v>34367.39253605259</v>
      </c>
      <c r="J136" s="167">
        <f t="shared" si="30"/>
        <v>75786.577728441189</v>
      </c>
      <c r="K136" s="82"/>
      <c r="L136" s="81"/>
      <c r="M136" s="81"/>
      <c r="N136" s="81"/>
      <c r="O136" s="82"/>
      <c r="P136" s="80"/>
      <c r="Q136" s="83"/>
    </row>
    <row r="137" spans="1:17" s="84" customFormat="1">
      <c r="A137" s="234">
        <v>89</v>
      </c>
      <c r="B137" s="218"/>
      <c r="C137" s="209" t="s">
        <v>178</v>
      </c>
      <c r="D137" s="115"/>
      <c r="E137" s="219"/>
      <c r="F137" s="121">
        <f t="shared" ref="F137:F138" si="62">F133*18%</f>
        <v>982.54249811413138</v>
      </c>
      <c r="G137" s="121">
        <f>G133*20%</f>
        <v>397.352930754505</v>
      </c>
      <c r="H137" s="121">
        <f t="shared" ref="H137:I137" si="63">H133*20%</f>
        <v>0</v>
      </c>
      <c r="I137" s="121">
        <f t="shared" si="63"/>
        <v>8975.650595033545</v>
      </c>
      <c r="J137" s="167">
        <f t="shared" si="30"/>
        <v>9373.00352578805</v>
      </c>
      <c r="K137" s="82">
        <f>SUM(G137:H137)</f>
        <v>397.352930754505</v>
      </c>
      <c r="L137" s="81"/>
      <c r="M137" s="81"/>
      <c r="N137" s="81"/>
      <c r="O137" s="82"/>
      <c r="P137" s="80"/>
      <c r="Q137" s="83"/>
    </row>
    <row r="138" spans="1:17" s="84" customFormat="1">
      <c r="A138" s="234">
        <v>90</v>
      </c>
      <c r="B138" s="220"/>
      <c r="C138" s="209" t="s">
        <v>179</v>
      </c>
      <c r="D138" s="221"/>
      <c r="E138" s="222"/>
      <c r="F138" s="121">
        <f t="shared" si="62"/>
        <v>398.42822256479582</v>
      </c>
      <c r="G138" s="121">
        <f>G134*20%</f>
        <v>1983.7696403509453</v>
      </c>
      <c r="H138" s="121">
        <f t="shared" ref="H138:I138" si="64">H134*20%</f>
        <v>1519.051660362707</v>
      </c>
      <c r="I138" s="121">
        <f t="shared" si="64"/>
        <v>2.1959281694393629E-13</v>
      </c>
      <c r="J138" s="167">
        <f t="shared" si="30"/>
        <v>3502.8213007136524</v>
      </c>
      <c r="K138" s="223">
        <v>62217.579999999987</v>
      </c>
      <c r="L138" s="222">
        <v>1.9969275564880543E-2</v>
      </c>
      <c r="M138" s="224">
        <f>SUM(G138:H138)</f>
        <v>3502.8213007136524</v>
      </c>
      <c r="N138" s="81"/>
      <c r="O138" s="82"/>
      <c r="P138" s="80"/>
      <c r="Q138" s="83"/>
    </row>
    <row r="139" spans="1:17" s="140" customFormat="1">
      <c r="A139" s="159">
        <v>91</v>
      </c>
      <c r="B139" s="155"/>
      <c r="C139" s="203" t="s">
        <v>241</v>
      </c>
      <c r="D139" s="156"/>
      <c r="E139" s="157"/>
      <c r="F139" s="70">
        <f>F140+F141+F142</f>
        <v>62825.649027612439</v>
      </c>
      <c r="G139" s="70">
        <f t="shared" ref="G139:I139" si="65">G140+G141+G142</f>
        <v>74872.757568564935</v>
      </c>
      <c r="H139" s="70">
        <f t="shared" si="65"/>
        <v>197043.39897457563</v>
      </c>
      <c r="I139" s="70">
        <f t="shared" si="65"/>
        <v>260058.25878651679</v>
      </c>
      <c r="J139" s="164">
        <f t="shared" si="30"/>
        <v>531974.41532965726</v>
      </c>
      <c r="K139" s="158">
        <v>13073.320347199999</v>
      </c>
      <c r="L139" s="157">
        <v>1.5224135469351334E-2</v>
      </c>
      <c r="M139" s="137"/>
      <c r="N139" s="137"/>
      <c r="O139" s="138"/>
      <c r="P139" s="40"/>
      <c r="Q139" s="139"/>
    </row>
    <row r="140" spans="1:17" s="86" customFormat="1">
      <c r="A140" s="234">
        <v>92</v>
      </c>
      <c r="B140" s="212"/>
      <c r="C140" s="199" t="s">
        <v>177</v>
      </c>
      <c r="D140" s="169"/>
      <c r="E140" s="166"/>
      <c r="F140" s="163">
        <f>F132+F136</f>
        <v>53772.618747606139</v>
      </c>
      <c r="G140" s="163">
        <f t="shared" ref="G140:I140" si="66">G132+G136</f>
        <v>60586.022141932233</v>
      </c>
      <c r="H140" s="163">
        <f t="shared" si="66"/>
        <v>187929.08901239937</v>
      </c>
      <c r="I140" s="163">
        <f t="shared" si="66"/>
        <v>206204.35521631554</v>
      </c>
      <c r="J140" s="165">
        <f t="shared" si="30"/>
        <v>454719.46637064713</v>
      </c>
      <c r="K140" s="66"/>
      <c r="L140" s="67"/>
      <c r="M140" s="67"/>
      <c r="N140" s="67"/>
      <c r="O140" s="66"/>
      <c r="P140" s="25"/>
      <c r="Q140" s="26"/>
    </row>
    <row r="141" spans="1:17" s="86" customFormat="1">
      <c r="A141" s="234">
        <v>93</v>
      </c>
      <c r="B141" s="210"/>
      <c r="C141" s="199" t="s">
        <v>178</v>
      </c>
      <c r="D141" s="169"/>
      <c r="E141" s="170"/>
      <c r="F141" s="163">
        <f>F133+F137</f>
        <v>6441.1119320815278</v>
      </c>
      <c r="G141" s="163">
        <f t="shared" ref="G141:I141" si="67">G133+G137</f>
        <v>2384.11758452703</v>
      </c>
      <c r="H141" s="163">
        <f t="shared" si="67"/>
        <v>0</v>
      </c>
      <c r="I141" s="163">
        <f t="shared" si="67"/>
        <v>53853.903570201262</v>
      </c>
      <c r="J141" s="165">
        <f t="shared" si="30"/>
        <v>56238.021154728296</v>
      </c>
      <c r="K141" s="66">
        <f>SUM(G141:H141)</f>
        <v>2384.11758452703</v>
      </c>
      <c r="L141" s="67"/>
      <c r="M141" s="67"/>
      <c r="N141" s="67"/>
      <c r="O141" s="66"/>
      <c r="P141" s="25"/>
      <c r="Q141" s="26"/>
    </row>
    <row r="142" spans="1:17" s="86" customFormat="1">
      <c r="A142" s="234">
        <v>94</v>
      </c>
      <c r="B142" s="171"/>
      <c r="C142" s="199" t="s">
        <v>179</v>
      </c>
      <c r="D142" s="172"/>
      <c r="E142" s="173"/>
      <c r="F142" s="163">
        <f>F134+F138</f>
        <v>2611.9183479247727</v>
      </c>
      <c r="G142" s="163">
        <f t="shared" ref="G142:I142" si="68">G134+G138</f>
        <v>11902.617842105672</v>
      </c>
      <c r="H142" s="163">
        <f t="shared" si="68"/>
        <v>9114.3099621762412</v>
      </c>
      <c r="I142" s="163">
        <f t="shared" si="68"/>
        <v>1.3175569016636177E-12</v>
      </c>
      <c r="J142" s="165">
        <f t="shared" si="30"/>
        <v>21016.927804281913</v>
      </c>
      <c r="K142" s="225">
        <v>62217.579999999987</v>
      </c>
      <c r="L142" s="173">
        <v>1.9969275564880543E-2</v>
      </c>
      <c r="M142" s="226">
        <f>SUM(G142:H142)</f>
        <v>21016.927804281913</v>
      </c>
      <c r="N142" s="67"/>
      <c r="O142" s="66"/>
      <c r="P142" s="25"/>
      <c r="Q142" s="26"/>
    </row>
    <row r="143" spans="1:17" s="87" customFormat="1" ht="12.75" customHeight="1">
      <c r="A143" s="159"/>
      <c r="B143" s="145"/>
      <c r="C143" s="201"/>
      <c r="D143" s="111"/>
      <c r="E143" s="112"/>
      <c r="F143" s="64"/>
      <c r="G143" s="64"/>
      <c r="H143" s="64"/>
      <c r="I143" s="64"/>
      <c r="J143" s="64"/>
      <c r="K143" s="146"/>
      <c r="L143" s="147"/>
      <c r="M143" s="120"/>
      <c r="N143" s="68"/>
      <c r="O143" s="69"/>
      <c r="P143" s="3"/>
      <c r="Q143" s="16"/>
    </row>
    <row r="145" spans="2:10">
      <c r="B145" s="265" t="s">
        <v>253</v>
      </c>
      <c r="C145" s="265"/>
      <c r="D145" s="265"/>
      <c r="E145" s="265"/>
      <c r="F145" s="265"/>
      <c r="G145" s="265"/>
      <c r="H145" s="265"/>
      <c r="I145" s="265"/>
      <c r="J145" s="168">
        <f>J139*0.15</f>
        <v>79796.162299448581</v>
      </c>
    </row>
  </sheetData>
  <mergeCells count="14">
    <mergeCell ref="I1:J1"/>
    <mergeCell ref="H6:K6"/>
    <mergeCell ref="B145:I145"/>
    <mergeCell ref="A2:C3"/>
    <mergeCell ref="A8:J8"/>
    <mergeCell ref="A9:B9"/>
    <mergeCell ref="C9:J9"/>
    <mergeCell ref="I2:J3"/>
    <mergeCell ref="A10:B10"/>
    <mergeCell ref="C10:J10"/>
    <mergeCell ref="B39:C39"/>
    <mergeCell ref="B15:C15"/>
    <mergeCell ref="B66:C66"/>
    <mergeCell ref="B71:C71"/>
  </mergeCells>
  <pageMargins left="0.31496062992125984" right="0.31496062992125984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под. Беклемишево</vt:lpstr>
      <vt:lpstr>РНМЦ</vt:lpstr>
      <vt:lpstr>'под. Беклемишево'!Заголовки_для_печати</vt:lpstr>
      <vt:lpstr>РНМЦ!Заголовки_для_печати</vt:lpstr>
      <vt:lpstr>'под. Беклемишево'!Область_печати</vt:lpstr>
      <vt:lpstr>РНМЦ!Область_печати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Курилова</cp:lastModifiedBy>
  <cp:lastPrinted>2018-11-22T01:40:44Z</cp:lastPrinted>
  <dcterms:created xsi:type="dcterms:W3CDTF">1996-10-08T23:32:33Z</dcterms:created>
  <dcterms:modified xsi:type="dcterms:W3CDTF">2019-01-15T19:47:13Z</dcterms:modified>
</cp:coreProperties>
</file>